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90" yWindow="90" windowWidth="17340" windowHeight="10725" tabRatio="813" activeTab="0"/>
  </bookViews>
  <sheets>
    <sheet name="I&amp;M TCOS" sheetId="1" r:id="rId1"/>
    <sheet name="I&amp;M WS A - RB Support" sheetId="2" r:id="rId2"/>
    <sheet name="I&amp;M WS B ADIT &amp; ITC" sheetId="3" r:id="rId3"/>
    <sheet name="I&amp;M WS B-1 - Actual Stmt. AF" sheetId="4" r:id="rId4"/>
    <sheet name="I&amp;M WS B-2 - Actual Stmt. AG" sheetId="5" r:id="rId5"/>
    <sheet name="I&amp;M WS C  - Working Capital" sheetId="6" r:id="rId6"/>
    <sheet name="I&amp;M WS D IPP Credits" sheetId="7" r:id="rId7"/>
    <sheet name="I&amp;M 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S O - PBOP" sheetId="19" r:id="rId19"/>
    <sheet name="IMC - WS P Dep. Rates" sheetId="20" r:id="rId20"/>
    <sheet name="WS Q Interest" sheetId="21" state="hidden" r:id="rId21"/>
  </sheets>
  <externalReferences>
    <externalReference r:id="rId24"/>
    <externalReference r:id="rId25"/>
    <externalReference r:id="rId26"/>
    <externalReference r:id="rId27"/>
    <externalReference r:id="rId28"/>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'I&amp;M WS C  - Working Capital'!$A$8:$N$90</definedName>
    <definedName name="Z_3768C7C8_9953_11DA_B318_000FB55D51DC_.wvu.PrintTitles" localSheetId="5" hidden="1">'I&amp;M WS C  - Working Capital'!#REF!</definedName>
    <definedName name="Z_3768C7C8_9953_11DA_B318_000FB55D51DC_.wvu.Rows" localSheetId="5" hidden="1">'I&amp;M WS C  - Working Capital'!#REF!</definedName>
    <definedName name="Z_3BDD6235_B127_4929_8311_BDAF7BB89818_.wvu.PrintArea" localSheetId="5" hidden="1">'I&amp;M WS C  - Working Capital'!$A$8:$N$90</definedName>
    <definedName name="Z_3BDD6235_B127_4929_8311_BDAF7BB89818_.wvu.PrintTitles" localSheetId="5" hidden="1">'I&amp;M WS C  - Working Capital'!#REF!</definedName>
    <definedName name="Z_3BDD6235_B127_4929_8311_BDAF7BB89818_.wvu.Rows" localSheetId="5" hidden="1">'I&amp;M WS C  - Working Capital'!#REF!</definedName>
    <definedName name="Z_B0241363_5C8A_48FC_89A6_56D55586BABE_.wvu.PrintArea" localSheetId="5" hidden="1">'I&amp;M WS C  - Working Capital'!$A$8:$N$90</definedName>
    <definedName name="Z_B0241363_5C8A_48FC_89A6_56D55586BABE_.wvu.PrintTitles" localSheetId="5" hidden="1">'I&amp;M WS C  - Working Capital'!#REF!</definedName>
    <definedName name="Z_B0241363_5C8A_48FC_89A6_56D55586BABE_.wvu.Rows" localSheetId="5" hidden="1">'I&amp;M WS C  - Working Capital'!#REF!</definedName>
    <definedName name="Z_C0EA0F9F_7310_4201_82C9_7B8FC8DB9137_.wvu.PrintArea" localSheetId="5" hidden="1">'I&amp;M WS C  - Working Capital'!$A$8:$N$90</definedName>
    <definedName name="Z_C0EA0F9F_7310_4201_82C9_7B8FC8DB9137_.wvu.PrintTitles" localSheetId="5" hidden="1">'I&amp;M WS C  - Working Capital'!#REF!</definedName>
    <definedName name="Z_C0EA0F9F_7310_4201_82C9_7B8FC8DB9137_.wvu.Rows" localSheetId="5" hidden="1">'I&amp;M WS C  - Working Capital'!#REF!</definedName>
    <definedName name="Z_C5140E12_E05E_4473_9142_42F37320A417_.wvu.Cols" localSheetId="11" hidden="1">'WS H-1-Detail of Tax Amts'!#REF!</definedName>
    <definedName name="Z_C5140E12_E05E_4473_9142_42F37320A417_.wvu.PrintArea" localSheetId="11" hidden="1">'WS H-1-Detail of Tax Amts'!$A$1:$F$127</definedName>
    <definedName name="Z_C5140E12_E05E_4473_9142_42F37320A417_.wvu.PrintArea" localSheetId="13" hidden="1">'WS J PROJECTED RTEP RR'!$A$3:$O$81</definedName>
    <definedName name="Z_C5140E12_E05E_4473_9142_42F37320A417_.wvu.PrintTitles" localSheetId="11" hidden="1">'WS H-1-Detail of Tax Amts'!$1:$5</definedName>
    <definedName name="Zip">#REF!</definedName>
  </definedNames>
  <calcPr fullCalcOnLoad="1"/>
</workbook>
</file>

<file path=xl/sharedStrings.xml><?xml version="1.0" encoding="utf-8"?>
<sst xmlns="http://schemas.openxmlformats.org/spreadsheetml/2006/main" count="2460" uniqueCount="1286">
  <si>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</si>
  <si>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</si>
  <si>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</si>
  <si>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</si>
  <si>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</si>
  <si>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</si>
  <si>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</si>
  <si>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</si>
  <si>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</si>
  <si>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</si>
  <si>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</si>
  <si>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</si>
  <si>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</si>
  <si>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</si>
  <si>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</si>
  <si>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</si>
  <si>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</si>
  <si>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</si>
  <si>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</si>
  <si>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</si>
  <si>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</si>
  <si>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</si>
  <si>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</si>
  <si>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</si>
  <si>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</si>
  <si>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</si>
  <si>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</si>
  <si>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</si>
  <si>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</si>
  <si>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</si>
  <si>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</si>
  <si>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</si>
  <si>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</si>
  <si>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</si>
  <si>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</si>
  <si>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</si>
  <si>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</si>
  <si>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</si>
  <si>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</si>
  <si>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</si>
  <si>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</si>
  <si>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</si>
  <si>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</si>
  <si>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</si>
  <si>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</si>
  <si>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</si>
  <si>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</si>
  <si>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</si>
  <si>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</si>
  <si>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</si>
  <si>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</si>
  <si>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</si>
  <si>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</si>
  <si>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</si>
  <si>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</si>
  <si>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</si>
  <si>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</si>
  <si>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</si>
  <si>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</si>
  <si>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</si>
  <si>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</si>
  <si>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</si>
  <si>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</si>
  <si>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</si>
  <si>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</si>
  <si>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</si>
  <si>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</si>
  <si>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</si>
  <si>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</si>
  <si>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</si>
  <si>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</si>
  <si>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</si>
  <si>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</si>
  <si>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</si>
  <si>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</si>
  <si>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</si>
  <si>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</si>
  <si>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</si>
  <si>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</si>
  <si>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</si>
  <si>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</si>
  <si>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</si>
  <si>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</si>
  <si>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</si>
  <si>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</si>
  <si>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</si>
  <si>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</si>
  <si>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</si>
  <si>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</si>
  <si>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</si>
  <si>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</si>
  <si>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</si>
  <si>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</si>
  <si>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</si>
  <si>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</si>
  <si>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</si>
  <si>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</si>
  <si>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</si>
  <si>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</si>
  <si>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</si>
  <si>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</si>
  <si>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</si>
  <si>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</si>
  <si>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</si>
  <si>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</si>
  <si>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</si>
  <si>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</si>
  <si>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</si>
  <si>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</si>
  <si>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</si>
  <si>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</si>
  <si>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</si>
  <si>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</si>
  <si>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</si>
  <si>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</si>
  <si>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</si>
  <si>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</si>
  <si>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</si>
  <si>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</si>
  <si>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</si>
  <si>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</si>
  <si>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</si>
  <si>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</si>
  <si>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</si>
  <si>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</si>
  <si>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</si>
  <si>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</si>
  <si>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</si>
  <si>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</si>
  <si>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</si>
  <si>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</si>
  <si>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</si>
  <si>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</si>
  <si>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</si>
  <si>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</si>
  <si>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</si>
  <si>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</si>
  <si>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</si>
  <si>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</si>
  <si>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</si>
  <si>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</si>
  <si>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</si>
  <si>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</si>
  <si>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</si>
  <si>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</si>
  <si>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</si>
  <si>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</si>
  <si>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</si>
  <si>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</si>
  <si>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</si>
  <si>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</si>
  <si>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</si>
  <si>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</si>
  <si>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</si>
  <si>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</si>
  <si>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</si>
  <si>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</si>
  <si>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</si>
  <si>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</si>
  <si>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</si>
  <si>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</si>
  <si>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</si>
  <si>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</si>
  <si>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</si>
  <si>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</si>
  <si>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</si>
  <si>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</si>
  <si>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</si>
  <si>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</si>
  <si>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</si>
  <si>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</si>
  <si>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</si>
  <si>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</si>
  <si>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</si>
  <si>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</si>
  <si>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</si>
  <si>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</si>
  <si>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</si>
  <si>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</si>
  <si>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</si>
  <si>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</si>
  <si>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</si>
  <si>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</si>
  <si>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</si>
  <si>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</si>
  <si>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</si>
  <si>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</si>
  <si>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</si>
  <si>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</si>
  <si>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</si>
  <si>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</si>
  <si>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</si>
  <si>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</si>
  <si>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</si>
  <si>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</si>
  <si>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</si>
  <si>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</si>
  <si>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</si>
  <si>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</si>
  <si>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</si>
  <si>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</si>
  <si>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</si>
  <si>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</si>
  <si>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</si>
  <si>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</si>
  <si>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</si>
  <si>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</si>
  <si>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</si>
  <si>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</si>
  <si>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</si>
  <si>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</si>
  <si>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</si>
  <si>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</si>
  <si>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</si>
  <si>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</si>
  <si>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</si>
  <si>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</si>
  <si>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</si>
  <si>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</si>
  <si>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</si>
  <si>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</si>
  <si>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</si>
  <si>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</si>
  <si>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</si>
  <si>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</si>
  <si>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</si>
  <si>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</si>
  <si>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</si>
  <si>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</si>
  <si>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</si>
  <si>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</si>
  <si>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</si>
  <si>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</si>
  <si>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</si>
  <si>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</si>
  <si>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</si>
  <si>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</si>
  <si>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</si>
  <si>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</si>
  <si>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</si>
  <si>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</si>
  <si>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</si>
  <si>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</si>
  <si>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</si>
  <si>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</si>
  <si>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</si>
  <si>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</si>
  <si>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</si>
  <si>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</si>
  <si>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</si>
  <si>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</si>
  <si>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</si>
  <si>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</si>
  <si>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</si>
  <si>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</si>
  <si>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</si>
  <si>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</si>
  <si>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</si>
  <si>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</si>
  <si>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</si>
  <si>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</si>
  <si>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</si>
  <si>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</si>
  <si>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</si>
  <si>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</si>
  <si>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</si>
  <si>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</si>
  <si>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</si>
  <si>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</si>
  <si>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</si>
  <si>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</si>
  <si>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</si>
  <si>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</si>
  <si>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</si>
  <si>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</si>
  <si>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</si>
  <si>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</si>
  <si>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</si>
  <si>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</si>
  <si>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</si>
  <si>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</si>
  <si>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</si>
  <si>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</si>
  <si>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</si>
  <si>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</si>
  <si>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</si>
  <si>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</si>
  <si>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</si>
  <si>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</si>
  <si>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</si>
  <si>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</si>
  <si>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</si>
  <si>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</si>
  <si>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</si>
  <si>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</si>
  <si>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</si>
  <si>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</si>
  <si>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</si>
  <si>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</si>
  <si>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</si>
  <si>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</si>
  <si>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</si>
  <si>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</si>
  <si>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</si>
  <si>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</si>
  <si>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</si>
  <si>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</si>
  <si>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</si>
  <si>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</si>
  <si>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</si>
  <si>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</si>
  <si>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</si>
  <si>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</si>
  <si>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</si>
  <si>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</si>
  <si>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</si>
  <si>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</si>
  <si>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</si>
  <si>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</si>
  <si>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</si>
  <si>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</si>
  <si>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</si>
  <si>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</si>
  <si>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</si>
  <si>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</si>
  <si>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</si>
  <si>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</si>
  <si>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</si>
  <si>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</si>
  <si>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</si>
  <si>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</si>
  <si>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</si>
  <si>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</si>
  <si>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</si>
  <si>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</si>
  <si>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</si>
  <si>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</si>
  <si>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</si>
  <si>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</si>
  <si>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</si>
  <si>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</si>
  <si>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</si>
  <si>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</si>
  <si>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</si>
  <si>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</si>
  <si>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</si>
  <si>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</si>
  <si>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</si>
  <si>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</si>
  <si>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</si>
  <si>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</si>
  <si>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</si>
  <si>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</si>
  <si>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</si>
  <si>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</si>
  <si>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</si>
  <si>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</si>
  <si>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</si>
  <si>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</si>
  <si>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</si>
  <si>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</si>
  <si>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</si>
  <si>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</si>
  <si>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</si>
  <si>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</si>
  <si>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</si>
  <si>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</si>
  <si>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</si>
  <si>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</si>
  <si>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</si>
  <si>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</si>
  <si>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</si>
  <si>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</si>
  <si>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</si>
  <si>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</si>
  <si>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</si>
  <si>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</si>
  <si>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</si>
  <si>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</si>
  <si>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</si>
  <si>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</si>
  <si>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</si>
  <si>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</si>
  <si>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</si>
  <si>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</si>
  <si>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</si>
  <si>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</si>
  <si>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</si>
  <si>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</si>
  <si>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</si>
  <si>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</si>
  <si>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</si>
  <si>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</si>
  <si>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</si>
  <si>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</si>
  <si>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</si>
  <si>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</si>
  <si>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</si>
  <si>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</si>
  <si>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</si>
  <si>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</si>
  <si>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</si>
  <si>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</si>
  <si>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</si>
  <si>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</si>
  <si>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</si>
  <si>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</si>
  <si>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</si>
  <si>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</si>
  <si>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</si>
  <si>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</si>
  <si>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</si>
  <si>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</si>
  <si>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</si>
  <si>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</si>
  <si>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</si>
  <si>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</si>
  <si>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</si>
  <si>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</si>
  <si>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</si>
  <si>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</si>
  <si>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</si>
  <si>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</si>
  <si>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</si>
  <si>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</si>
  <si>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</si>
  <si>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</si>
  <si>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</si>
  <si>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</si>
  <si>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</si>
  <si>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</si>
  <si>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</si>
  <si>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</si>
  <si>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</si>
  <si>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</si>
  <si>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</si>
  <si>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</si>
  <si>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</si>
  <si>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</si>
  <si>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</si>
  <si>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</si>
  <si>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</si>
  <si>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</si>
  <si>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</si>
  <si>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</si>
  <si>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</si>
  <si>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</si>
  <si>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</si>
  <si>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</si>
  <si>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</si>
  <si>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</si>
  <si>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</si>
  <si>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</si>
  <si>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</si>
  <si>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</si>
  <si>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</si>
  <si>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</si>
  <si>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</si>
  <si>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</si>
  <si>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</si>
  <si>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</si>
  <si>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</si>
  <si>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</si>
  <si>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</si>
  <si>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</si>
  <si>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</si>
  <si>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</si>
  <si>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</si>
  <si>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</si>
  <si>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</si>
  <si>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</si>
  <si>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</si>
  <si>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</si>
  <si>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</si>
  <si>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</si>
  <si>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</si>
  <si>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</si>
  <si>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</si>
  <si>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</si>
  <si>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</si>
  <si>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</si>
  <si>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</si>
  <si>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</si>
  <si>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</si>
  <si>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</si>
  <si>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</si>
  <si>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</si>
  <si>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</si>
  <si>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</si>
  <si>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</si>
  <si>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</si>
  <si>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</si>
  <si>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</si>
  <si>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</si>
  <si>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</si>
  <si>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</si>
  <si>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</si>
  <si>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</si>
  <si>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</si>
  <si>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</si>
  <si>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</si>
  <si>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</si>
  <si>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</si>
  <si>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</si>
  <si>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</si>
  <si>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</si>
  <si>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</si>
  <si>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</si>
  <si>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</si>
  <si>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</si>
  <si>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</si>
  <si>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</si>
  <si>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</si>
  <si>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</si>
  <si>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</si>
  <si>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</si>
  <si>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</si>
  <si>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</si>
  <si>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</si>
  <si>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</si>
  <si>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</si>
  <si>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</si>
  <si>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</si>
  <si>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</si>
  <si>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</si>
  <si>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</si>
  <si>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</si>
  <si>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</si>
  <si>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</si>
  <si>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</si>
  <si>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</si>
  <si>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</si>
  <si>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</si>
  <si>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</si>
  <si>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</si>
  <si>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Health Savings Program</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</si>
  <si>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</si>
  <si>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</si>
  <si>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</si>
  <si>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</si>
  <si>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</si>
  <si>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</si>
  <si>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</si>
  <si>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</si>
  <si>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</si>
  <si>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</si>
  <si>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</si>
  <si>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</si>
  <si>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</si>
  <si>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</si>
  <si>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</si>
  <si>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</si>
  <si>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</si>
  <si>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</si>
  <si>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</si>
  <si>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</si>
  <si>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</si>
  <si>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</si>
  <si>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</si>
  <si>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</si>
  <si>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</si>
  <si>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</si>
  <si>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</si>
  <si>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</si>
  <si>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</si>
  <si>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</si>
  <si>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</si>
  <si>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</si>
  <si>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</si>
  <si>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</si>
  <si>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</si>
  <si>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</si>
  <si>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</si>
  <si>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</si>
  <si>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</si>
  <si>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</si>
  <si>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</si>
  <si>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</si>
  <si>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</si>
  <si>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</si>
  <si>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</si>
  <si>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</si>
  <si>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</si>
  <si>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</si>
  <si>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</si>
  <si>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</si>
  <si>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</si>
  <si>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</si>
  <si>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</si>
  <si>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</si>
  <si>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</si>
  <si>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</si>
  <si>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</si>
  <si>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</si>
  <si>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</si>
  <si>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</si>
  <si>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</si>
  <si>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</si>
  <si>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</si>
  <si>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</si>
  <si>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</si>
  <si>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</si>
  <si>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</si>
  <si>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</si>
  <si>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</si>
  <si>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</si>
  <si>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</si>
  <si>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</si>
  <si>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</si>
  <si>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</si>
  <si>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</si>
  <si>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</si>
  <si>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</si>
  <si>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</si>
  <si>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</si>
  <si>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</si>
  <si>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</si>
  <si>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</si>
  <si>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</si>
  <si>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</si>
  <si>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</si>
  <si>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</si>
  <si>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</si>
  <si>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</si>
  <si>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</si>
  <si>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</si>
  <si>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</si>
  <si>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</si>
  <si>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</si>
  <si>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</si>
  <si>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</si>
  <si>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</si>
  <si>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</si>
  <si>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</si>
  <si>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</si>
  <si>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</si>
  <si>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</si>
  <si>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</si>
  <si>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</si>
  <si>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</si>
  <si>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</si>
  <si>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</si>
  <si>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</si>
  <si>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</si>
  <si>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</si>
  <si>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</si>
  <si>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</si>
  <si>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</si>
  <si>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</si>
  <si>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</si>
  <si>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</si>
  <si>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</si>
  <si>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</si>
  <si>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</si>
  <si>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</si>
  <si>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</si>
  <si>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</si>
  <si>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</si>
  <si>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</si>
  <si>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</si>
  <si>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</si>
  <si>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</si>
  <si>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</si>
  <si>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</si>
  <si>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</si>
  <si>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</si>
  <si>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</si>
  <si>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</si>
  <si>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</si>
  <si>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</si>
  <si>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</si>
  <si>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</si>
  <si>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</si>
  <si>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</si>
  <si>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</si>
  <si>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</si>
  <si>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</si>
  <si>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</si>
  <si>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</si>
  <si>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</si>
  <si>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</si>
  <si>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</si>
  <si>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</si>
  <si>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</si>
  <si>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</si>
  <si>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</si>
  <si>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</si>
  <si>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</si>
  <si>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</si>
  <si>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</si>
  <si>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</si>
  <si>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</si>
  <si>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</si>
  <si>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</si>
  <si>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</si>
  <si>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</si>
  <si>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</si>
  <si>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</si>
  <si>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</si>
  <si>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</si>
  <si>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</si>
  <si>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</si>
  <si>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</si>
  <si>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</si>
  <si>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</si>
  <si>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</si>
  <si>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</si>
  <si>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</si>
  <si>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</si>
  <si>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</si>
  <si>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</si>
  <si>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</si>
  <si>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</si>
  <si>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</si>
  <si>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</si>
  <si>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</si>
  <si>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</si>
  <si>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</si>
  <si>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</si>
  <si>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</si>
  <si>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</si>
  <si>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</si>
  <si>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</si>
  <si>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</si>
  <si>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</si>
  <si>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</si>
  <si>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</si>
  <si>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</si>
  <si>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</si>
  <si>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</si>
  <si>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</si>
  <si>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</si>
  <si>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</si>
  <si>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</si>
  <si>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</si>
  <si>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</si>
  <si>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</si>
  <si>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</si>
  <si>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</si>
  <si>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</si>
  <si>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</si>
  <si>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</si>
  <si>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</si>
  <si>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</si>
  <si>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</si>
  <si>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</si>
  <si>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</si>
  <si>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</si>
  <si>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</si>
  <si>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</si>
  <si>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</si>
  <si>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</si>
  <si>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</si>
  <si>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</si>
  <si>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</si>
  <si>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</si>
  <si>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</si>
  <si>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</si>
  <si>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</si>
  <si>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</si>
  <si>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</si>
  <si>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</si>
  <si>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</si>
  <si>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</si>
  <si>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</si>
  <si>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</si>
  <si>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</si>
  <si>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</si>
  <si>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</si>
  <si>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</si>
  <si>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</si>
  <si>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Average of the Beginning and End Year Balances</t>
  </si>
  <si>
    <t xml:space="preserve">Average of the Beginning and End Year Balances </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</si>
  <si>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</si>
  <si>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</si>
  <si>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</si>
  <si>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</si>
  <si>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</si>
  <si>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</si>
  <si>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</si>
  <si>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</si>
  <si>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</si>
  <si>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</si>
  <si>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</si>
  <si>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</si>
  <si>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</si>
  <si>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</si>
  <si>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</si>
  <si>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</si>
  <si>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</si>
  <si>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</si>
  <si>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</si>
  <si>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</si>
  <si>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</si>
  <si>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</si>
  <si>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</si>
  <si>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</si>
  <si>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</si>
  <si>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</si>
  <si>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</si>
  <si>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</si>
  <si>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</si>
  <si>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</si>
  <si>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</si>
  <si>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</si>
  <si>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</si>
  <si>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</si>
  <si>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</si>
  <si>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These deductions on lines 81 through 83 are to remove from the cost of service the expenses recorded by the company for Postemployment Benefits Other than Pensions (PBOP).  See Note M below for the recoverable PBOP expense.</t>
  </si>
  <si>
    <t>The cost of service will make a rate base adjustment to remove unfunded reserves associated with contingent liabilites recorded to Accounts 228.1-228.4 from rate base.</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</si>
  <si>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</si>
  <si>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</si>
  <si>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</si>
  <si>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</si>
  <si>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</si>
  <si>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</si>
  <si>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</si>
  <si>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</si>
  <si>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</si>
  <si>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</si>
  <si>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</si>
  <si>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</si>
  <si>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</si>
  <si>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</si>
  <si>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</si>
  <si>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</si>
  <si>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Insurance - EIS</t>
  </si>
  <si>
    <t>Prepaid Lease</t>
  </si>
  <si>
    <t>Prepaid OCIP Work Comp</t>
  </si>
  <si>
    <t>Prepaid Sales Taxes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</si>
  <si>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</si>
  <si>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</si>
  <si>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</si>
  <si>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</si>
  <si>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</si>
  <si>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</si>
  <si>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</si>
  <si>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</si>
  <si>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</si>
  <si>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</si>
  <si>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</si>
  <si>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</si>
  <si>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</si>
  <si>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</si>
  <si>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</si>
  <si>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</si>
  <si>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</si>
  <si>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</si>
  <si>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</si>
  <si>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</si>
  <si>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</si>
  <si>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</si>
  <si>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</si>
  <si>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</si>
  <si>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</si>
  <si>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</si>
  <si>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</si>
  <si>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</si>
  <si>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</si>
  <si>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</si>
  <si>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</si>
  <si>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</si>
  <si>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</si>
  <si>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</si>
  <si>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</si>
  <si>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</si>
  <si>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</si>
  <si>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</si>
  <si>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</si>
  <si>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</si>
  <si>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</si>
  <si>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</si>
  <si>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</si>
  <si>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</si>
  <si>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P.263.1 ln 27 (i)</t>
  </si>
  <si>
    <t>P.263 ln 6 (i)</t>
  </si>
  <si>
    <t>P.263 ln 23 (i)</t>
  </si>
  <si>
    <t>P.263.1 ln 19 (i)</t>
  </si>
  <si>
    <t>P.263.2 ln 33 (i)</t>
  </si>
  <si>
    <t>No</t>
  </si>
  <si>
    <t>Senior Unsecured Notes - Series H</t>
  </si>
  <si>
    <t>INDIANA MICHIGAN POWER COMPANY</t>
  </si>
  <si>
    <t>EFFECTIVE AS OF July 1, 2014</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</si>
  <si>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</si>
  <si>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</si>
  <si>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</si>
  <si>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</si>
  <si>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</si>
  <si>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</si>
  <si>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</si>
  <si>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</si>
  <si>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</si>
  <si>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</si>
  <si>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</si>
  <si>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</si>
  <si>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</si>
  <si>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Prepaid Use Taxes</t>
  </si>
  <si>
    <t>Prepaid SNF Container Costs</t>
  </si>
  <si>
    <t>Prepaid SNF Costs</t>
  </si>
  <si>
    <t>Prepaid OCIP Work Comp-Aff</t>
  </si>
  <si>
    <t>PRW without MED-D Benefits</t>
  </si>
  <si>
    <t>PRW for Med-D Benefits</t>
  </si>
  <si>
    <t>FAS 158 Contra-PRW Exc Med-D</t>
  </si>
  <si>
    <t>Prepaid OCIP WC LT</t>
  </si>
  <si>
    <t>Prepaid OCIP WC LT-Aff</t>
  </si>
  <si>
    <t>Prepaid Taxes-Distribution</t>
  </si>
  <si>
    <t>River Transport</t>
  </si>
  <si>
    <t>Relates to EPRI dues</t>
  </si>
  <si>
    <t xml:space="preserve">AR Factoring </t>
  </si>
  <si>
    <t>Prepaid Sales Tax - Distribution</t>
  </si>
  <si>
    <t>Prepaid Use Tax - Distribution</t>
  </si>
  <si>
    <t>Energy INS Services</t>
  </si>
  <si>
    <t>Other Prepaid-Distribution</t>
  </si>
  <si>
    <t>Med-D Benefits</t>
  </si>
  <si>
    <t>Prepaid  - Distribution</t>
  </si>
  <si>
    <t>Prepaid Leases - Trans. Laydown Yard</t>
  </si>
  <si>
    <t xml:space="preserve">Misc Transmission Expense </t>
  </si>
  <si>
    <t>Reg Com Exp-FERC</t>
  </si>
  <si>
    <t>9302005</t>
  </si>
  <si>
    <t>Nucl Fac Ins - Replce Engy Cst</t>
  </si>
  <si>
    <t>AEPSC nonaffiliated expense</t>
  </si>
  <si>
    <t>Indian Corporate Income Tax Rate</t>
  </si>
  <si>
    <t>Michigan Single Business Tax Rate</t>
  </si>
  <si>
    <t>West Virginia Corporation Income Tax Rate</t>
  </si>
  <si>
    <t>Kentucky Corporation Income Tax Rate</t>
  </si>
  <si>
    <t>Missouri Corporation Income Tax Rate</t>
  </si>
  <si>
    <t>Illinois Corporation Income Tax Rate</t>
  </si>
  <si>
    <t>MICHIGAN JURISDICTION</t>
  </si>
  <si>
    <t>INDIANA JURISDICTION</t>
  </si>
  <si>
    <t>P.263 ln 16 (i)</t>
  </si>
  <si>
    <t>P.263 ln 17 (i)</t>
  </si>
  <si>
    <t>P.263.2 ln 31 (i)</t>
  </si>
  <si>
    <t>P.263.2 ln 32 (i)</t>
  </si>
  <si>
    <t>Real and Personal Property - Michigan</t>
  </si>
  <si>
    <t>P.263.1 ln 20 (i)</t>
  </si>
  <si>
    <t>P.263.1 ln 21 (i)</t>
  </si>
  <si>
    <t>P.263.1 ln 22 (i)</t>
  </si>
  <si>
    <t>P.263.1 ln 23 (i)</t>
  </si>
  <si>
    <t>P.263.1 ln 26 (i)</t>
  </si>
  <si>
    <t>P.263.1 ln 30 (i)</t>
  </si>
  <si>
    <t>P.263.1 ln 31 (i)</t>
  </si>
  <si>
    <t>Real and Personal Property - Indiana</t>
  </si>
  <si>
    <t xml:space="preserve">P.263 ln 26 (i) </t>
  </si>
  <si>
    <t xml:space="preserve">P.263 ln 27 (i) </t>
  </si>
  <si>
    <t xml:space="preserve">P.263 ln 28 (i) </t>
  </si>
  <si>
    <t xml:space="preserve">P.263 ln 30 (i) </t>
  </si>
  <si>
    <t xml:space="preserve">P.263 ln 31 (i) </t>
  </si>
  <si>
    <t xml:space="preserve">P.263.2 ln 16 (i) </t>
  </si>
  <si>
    <t xml:space="preserve">P.263.2 ln 17 (i) </t>
  </si>
  <si>
    <t>P.263 ln 5 (i)</t>
  </si>
  <si>
    <t>P.263 ln 15 (i)</t>
  </si>
  <si>
    <t>P.263.1 ln 10 (i)</t>
  </si>
  <si>
    <t>P.263.2 ln 25 (i)</t>
  </si>
  <si>
    <t>P.263.2 ln 34 (i)</t>
  </si>
  <si>
    <t>P.263 ln 24 (i)</t>
  </si>
  <si>
    <t>P.263.1 ln 11 (i)</t>
  </si>
  <si>
    <t>P.263.1 ln 12 (i)</t>
  </si>
  <si>
    <t xml:space="preserve">P.263.2 ln 7(i) </t>
  </si>
  <si>
    <t xml:space="preserve">P.263.2 ln 8(i) </t>
  </si>
  <si>
    <t>P.263.1 ln 35 (i)</t>
  </si>
  <si>
    <t>P.263.3 ln 31 (i)</t>
  </si>
  <si>
    <t>P.263.3 ln 32(i)</t>
  </si>
  <si>
    <t>P.263.1 ln 13 (i)</t>
  </si>
  <si>
    <t>P.263.1 ln 14 (i)</t>
  </si>
  <si>
    <t>P.263.1 ln 15 (i)</t>
  </si>
  <si>
    <t>P.263 ln 8 (i)</t>
  </si>
  <si>
    <t>Senior Unsecured Notes - Series G</t>
  </si>
  <si>
    <t>Senior Unsecured Notes - Series J</t>
  </si>
  <si>
    <t>RTEP ID: b0839 (Replace existing 450 MVA transformer at Twin Branch 345 / 138 kV with a 675 MVA transformer)</t>
  </si>
  <si>
    <t xml:space="preserve"> $                       -  </t>
  </si>
  <si>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</si>
  <si>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</si>
  <si>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</si>
  <si>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</si>
  <si>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</si>
  <si>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</si>
  <si>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</si>
  <si>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RTEP ID: b1465.5 (Make switching improvements at Sullivan and Jefferson 765 kV stations)</t>
  </si>
  <si>
    <t>OTHER JURISDICTION</t>
  </si>
  <si>
    <t>Real and Personal Property - Other</t>
  </si>
  <si>
    <t>Accm Prv I/D Workers Comp</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</si>
  <si>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</si>
  <si>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</si>
  <si>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</si>
  <si>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</si>
  <si>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</si>
  <si>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</si>
  <si>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</si>
  <si>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</si>
  <si>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</si>
  <si>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</si>
  <si>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</si>
  <si>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</si>
  <si>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</si>
  <si>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</si>
  <si>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</si>
  <si>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</si>
  <si>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</si>
  <si>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</si>
  <si>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</si>
  <si>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</si>
  <si>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</si>
  <si>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</si>
  <si>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</si>
  <si>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</si>
  <si>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</si>
  <si>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</si>
  <si>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</si>
  <si>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</si>
  <si>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BK PROV UNCOLL ACCTS-LT</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</si>
  <si>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</si>
  <si>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</si>
  <si>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</si>
  <si>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</si>
  <si>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</si>
  <si>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</si>
  <si>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</si>
  <si>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</si>
  <si>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</si>
  <si>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</si>
  <si>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</si>
  <si>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</si>
  <si>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</si>
  <si>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</si>
  <si>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</si>
  <si>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</si>
  <si>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</si>
  <si>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</si>
  <si>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</si>
  <si>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BK DFL RAIL TRANS REV/EXP</t>
  </si>
  <si>
    <t>FEDERAL MITIGATION PROGRAMS</t>
  </si>
  <si>
    <t xml:space="preserve">STATE MITIGATION PROGRAMS </t>
  </si>
  <si>
    <t>SM-OVER RECOVD RCS COSTS-DEFL</t>
  </si>
  <si>
    <t>DEFD BK CONTRACT REVENUE</t>
  </si>
  <si>
    <t>TAX&gt;BOOK BASIS-EMA-A/C-190</t>
  </si>
  <si>
    <t>DEFD BK GAIN-NON-AFF SALE-EMA</t>
  </si>
  <si>
    <t>DEFD BK LOSS-NON-AFF SALE-EMA</t>
  </si>
  <si>
    <t>DEFD TX LOSS-INTERCO SALE-EMA</t>
  </si>
  <si>
    <t>ADVANCE RENTAL INC (CUR MO)</t>
  </si>
  <si>
    <t>REG LIAB-UNREAL MTM GAIN-DEFL</t>
  </si>
  <si>
    <t>OUTAGE INSURANCE PROCEEDS</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</si>
  <si>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</si>
  <si>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</si>
  <si>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</si>
  <si>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</si>
  <si>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</si>
  <si>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</si>
  <si>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</si>
  <si>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</si>
  <si>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</si>
  <si>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</si>
  <si>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</si>
  <si>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</si>
  <si>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</si>
  <si>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</si>
  <si>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</si>
  <si>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</si>
  <si>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</si>
  <si>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</si>
  <si>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</si>
  <si>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</si>
  <si>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</si>
  <si>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</si>
  <si>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</si>
  <si>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</si>
  <si>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</si>
  <si>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</si>
  <si>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</si>
  <si>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</si>
  <si>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</si>
  <si>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</si>
  <si>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</si>
  <si>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</si>
  <si>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</si>
  <si>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</si>
  <si>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</si>
  <si>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</si>
  <si>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</si>
  <si>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</si>
  <si>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</si>
  <si>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</si>
  <si>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</si>
  <si>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</si>
  <si>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</si>
  <si>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</si>
  <si>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</si>
  <si>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</si>
  <si>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</si>
  <si>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</si>
  <si>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 xml:space="preserve">NON-UTILITY DEFERRED FIT </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</si>
  <si>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</si>
  <si>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</si>
  <si>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</si>
  <si>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</si>
  <si>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</si>
  <si>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</si>
  <si>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</si>
  <si>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</si>
  <si>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NUCLEAR</t>
  </si>
  <si>
    <t>RTD</t>
  </si>
  <si>
    <t>COLUMN P</t>
  </si>
  <si>
    <t>COLUMN Q</t>
  </si>
  <si>
    <t>COLUMN R</t>
  </si>
  <si>
    <t>COLUMN S</t>
  </si>
  <si>
    <t>COLUMN T</t>
  </si>
  <si>
    <t>COLUMN U</t>
  </si>
  <si>
    <t>TX AMORT POLLUTION CONT EQPT</t>
  </si>
  <si>
    <t>SFAS 109 FLOW-THRU 281.3</t>
  </si>
  <si>
    <t>SFAS 109 EXCESS DFIT 281.4</t>
  </si>
  <si>
    <t>EX L/T DFIT TX RESRV-SNF</t>
  </si>
  <si>
    <t>FERC - MPCO DEFD FIT @ MERGER</t>
  </si>
  <si>
    <t>FIT % RATE CHANGE-LD</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</si>
  <si>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</si>
  <si>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</si>
  <si>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</si>
  <si>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</si>
  <si>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</si>
  <si>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</si>
  <si>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</si>
  <si>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</si>
  <si>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</si>
  <si>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</si>
  <si>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</si>
  <si>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ABFUDC - ROCKPORT SPARE PARTS</t>
  </si>
  <si>
    <t>ABFUDC-RKPRT-SULL EHV</t>
  </si>
  <si>
    <t>ABFUDC - ROCKPORT UNIT 1</t>
  </si>
  <si>
    <t>ABFUDC - ROCKPORT UNIT 2</t>
  </si>
  <si>
    <t>ABFUDC- RKPRT-JEFF EHV</t>
  </si>
  <si>
    <t>ABFUDC-RKPRT PC U1</t>
  </si>
  <si>
    <t>ABFUDC - COOK PLANT/U2 STEAM GNR</t>
  </si>
  <si>
    <t>INVOL CONV RKPT U1-TURBINE</t>
  </si>
  <si>
    <t>INVOL CONV RKPT U1-ASH HOPPER</t>
  </si>
  <si>
    <t>TAXES CAPITALIZED</t>
  </si>
  <si>
    <t>TAXES CAPITALIZED-ROCKPORT SPARE PARTS</t>
  </si>
  <si>
    <t>TAXES CAPITALIZED-RKPRT-SULL EHV</t>
  </si>
  <si>
    <t>TAXES CAPITALIZED - ROCKPORT UNIT 1</t>
  </si>
  <si>
    <t>TAXES CAPITALIZED - ROCKPORT UNIT 2</t>
  </si>
  <si>
    <t>TAXES CAPITALIZED-RKPRT-JEFF EHV</t>
  </si>
  <si>
    <t>PENSIONS CAPITALIZED</t>
  </si>
  <si>
    <t>PENSIONS CAPITALIZED-RKPRT-SULL EHV</t>
  </si>
  <si>
    <t>PENSIONS CAPITALIZED-ROCKPORT SPARE PARTS</t>
  </si>
  <si>
    <t>PENSIONS CAPITALIZED - ROCKPORT UNIT 1</t>
  </si>
  <si>
    <t>PENSIONS CAPITALIZED - RKPRT-JEFF EHV</t>
  </si>
  <si>
    <t>SEC 481 PENS/OPEB ADJUSTMENT</t>
  </si>
  <si>
    <t>SAVINGS PLAN CAPITALIZED</t>
  </si>
  <si>
    <t>SAVINGS PLAN CAPITALIZED-RKPRT-SULL EHV</t>
  </si>
  <si>
    <t>SAVINGS PLAN CAPITALIZED-RKPT SPARE PARTS</t>
  </si>
  <si>
    <t>SAVINGS PLAN CAPITALIZED - ROCKPORT UNIT1</t>
  </si>
  <si>
    <t>SAVINGS PLAN CAPITALIZED - RKPRT-JEFF EHV</t>
  </si>
  <si>
    <t>CIAC - BK RECEIPTS - STEEL DYNAMICS</t>
  </si>
  <si>
    <t>INT EXP CAPD BK - THI SETTLE</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</si>
  <si>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</si>
  <si>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</si>
  <si>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</si>
  <si>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</si>
  <si>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</si>
  <si>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</si>
  <si>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</si>
  <si>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CAPITALIZED LEASES - A/C 1011 ASSETS</t>
  </si>
  <si>
    <t>GAIN ON REACQUIRED DEBT</t>
  </si>
  <si>
    <t>REMOVAL COSTS-COOK U2 STM GNR</t>
  </si>
  <si>
    <t>REMOVAL COSTS-COOK U1 STM GNR</t>
  </si>
  <si>
    <t>REMOVAL CST - NORMALIZED</t>
  </si>
  <si>
    <t>SFAS 109 FLOW-THRU 282.3</t>
  </si>
  <si>
    <t>SFAS 109 EXCESS DFIT 282.4</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</si>
  <si>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</si>
  <si>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</si>
  <si>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</si>
  <si>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</si>
  <si>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</si>
  <si>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</si>
  <si>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</si>
  <si>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</si>
  <si>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</si>
  <si>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</si>
  <si>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</si>
  <si>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</si>
  <si>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</si>
  <si>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</si>
  <si>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</si>
  <si>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</si>
  <si>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BK DEFL-DEMAND SIDE MNGMT EXP</t>
  </si>
  <si>
    <t>BOOK &gt; TAX - EMA - A/C 283</t>
  </si>
  <si>
    <t>DEFD TX GAIN - INTERCO SALE - EMA</t>
  </si>
  <si>
    <t>DEFD TAX GAIN - EPA AUCTION</t>
  </si>
  <si>
    <t>REG ASSET-SFAS 143 - ARO</t>
  </si>
  <si>
    <t>REG ASSET-DEFD CARRY COST ON STRANDED COST</t>
  </si>
  <si>
    <t>REG ASSET-DEFERRED PJM FEES</t>
  </si>
  <si>
    <t>REG ASSET-SFAS 158 - PENSIONS</t>
  </si>
  <si>
    <t>REG ASSET-SFAS 158 - SERP</t>
  </si>
  <si>
    <t>REG ASSET-SFAS 158 - OPEB</t>
  </si>
  <si>
    <t>REG ASSET-DEFD EVSE PROGRAM COSTS</t>
  </si>
  <si>
    <t>REG ASSET-ENVIRON COMPLIANCE CARRY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</si>
  <si>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</si>
  <si>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</si>
  <si>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</si>
  <si>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</si>
  <si>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</si>
  <si>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</si>
  <si>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</si>
  <si>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</si>
  <si>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</si>
  <si>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</si>
  <si>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</si>
  <si>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</si>
  <si>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</si>
  <si>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</si>
  <si>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</si>
  <si>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</si>
  <si>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</si>
  <si>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</si>
  <si>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</si>
  <si>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</si>
  <si>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</si>
  <si>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</si>
  <si>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</si>
  <si>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REG ASSET-DEFD TURBINE REPLACE EXP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</si>
  <si>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</si>
  <si>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</si>
  <si>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</si>
  <si>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</si>
  <si>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</si>
  <si>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</si>
  <si>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</si>
  <si>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</si>
  <si>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</si>
  <si>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</si>
  <si>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</si>
  <si>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</si>
  <si>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</si>
  <si>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</si>
  <si>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</si>
  <si>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</si>
  <si>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DEFERRED CESPP-O&amp;M EXP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</si>
  <si>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</si>
  <si>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</si>
  <si>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</si>
  <si>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</si>
  <si>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</si>
  <si>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</si>
  <si>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</si>
  <si>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</si>
  <si>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</si>
  <si>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</si>
  <si>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</si>
  <si>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</si>
  <si>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</si>
  <si>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DEPR-80PCT FMR</t>
  </si>
  <si>
    <t>REG ASSET-ROCKPORT DSI DEPR-20PCT NON-FMR</t>
  </si>
  <si>
    <t>REG ASSET-ROCKPORT DSI CC-80PCT FMR</t>
  </si>
  <si>
    <t>REG ASSET-ROCKPORT DSI EQUITY CC 80PCT FMR</t>
  </si>
  <si>
    <t>REG ASSET-ROCKPORT DSI CC-20PCT NON-FMR</t>
  </si>
  <si>
    <t>REG ASSET-ROCKPORT DSI EQ CC-20PCT NON-FMR</t>
  </si>
  <si>
    <t>REG ASSET-IN DEFERRED LCM - E3 COSTS</t>
  </si>
  <si>
    <t>REG ASSET-IN TOTAL E3 CARRYING COSTS</t>
  </si>
  <si>
    <t>REG ASSET-IN E3 EQUITY CARRYING COSTS</t>
  </si>
  <si>
    <t>REG ASSET-COOK UPRATE PROJECT</t>
  </si>
  <si>
    <t>REG ASSET-MI DEFD DEPR-EECO</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</si>
  <si>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</si>
  <si>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</si>
  <si>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</si>
  <si>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</si>
  <si>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</si>
  <si>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</si>
  <si>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</si>
  <si>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</si>
  <si>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</si>
  <si>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</si>
  <si>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</si>
  <si>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</si>
  <si>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POST RETIREMENT BEN - PAYMENT</t>
  </si>
  <si>
    <t>DEFD EARN-POST RETIRE BEN PYMT</t>
  </si>
  <si>
    <t>DEFD SFAS 106 BOOK COSTS</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</si>
  <si>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</si>
  <si>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</si>
  <si>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</si>
  <si>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</si>
  <si>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</si>
  <si>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</si>
  <si>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</si>
  <si>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</si>
  <si>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</si>
  <si>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</si>
  <si>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</si>
  <si>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 xml:space="preserve">P.263.3 ln 34(i) </t>
  </si>
  <si>
    <t>P.263.3 ln 16 (i)</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</si>
</sst>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_(* #,##0.000_);_(* \(#,##0.000\);_(* &quot;-&quot;???_);_(@_)"/>
  </numFmts>
  <fonts count="15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2"/>
      <name val="Times New Roman"/>
      <family val="1"/>
    </font>
    <font>
      <strike/>
      <sz val="10"/>
      <color indexed="10"/>
      <name val="Arial"/>
      <family val="2"/>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2"/>
      <color rgb="FF0000FF"/>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51">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right/>
      <top style="thin">
        <color indexed="8"/>
      </top>
      <bottom style="double"/>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3" fontId="0" fillId="0" borderId="0">
      <alignment/>
      <protection/>
    </xf>
    <xf numFmtId="0" fontId="143" fillId="0" borderId="0">
      <alignment/>
      <protection/>
    </xf>
    <xf numFmtId="0" fontId="0" fillId="0" borderId="0">
      <alignment/>
      <protection/>
    </xf>
    <xf numFmtId="3" fontId="0" fillId="0" borderId="0">
      <alignment/>
      <protection/>
    </xf>
    <xf numFmtId="0" fontId="143" fillId="0" borderId="0">
      <alignment/>
      <protection/>
    </xf>
    <xf numFmtId="0" fontId="0" fillId="0" borderId="0">
      <alignment/>
      <protection/>
    </xf>
    <xf numFmtId="3"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65">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9" applyFont="1" applyFill="1" applyAlignment="1">
      <alignment horizontal="center"/>
      <protection/>
    </xf>
    <xf numFmtId="0" fontId="14" fillId="0" borderId="0" xfId="269" applyFont="1" applyFill="1">
      <alignment/>
      <protection/>
    </xf>
    <xf numFmtId="9" fontId="9" fillId="0" borderId="0" xfId="269" applyNumberFormat="1" applyFont="1" applyFill="1" applyAlignment="1" quotePrefix="1">
      <alignment horizontal="center"/>
      <protection/>
    </xf>
    <xf numFmtId="0" fontId="16" fillId="0" borderId="0" xfId="269" applyFont="1" applyAlignment="1">
      <alignment horizontal="right"/>
      <protection/>
    </xf>
    <xf numFmtId="0" fontId="16" fillId="0" borderId="0" xfId="269" applyFont="1" applyAlignment="1">
      <alignment horizontal="center"/>
      <protection/>
    </xf>
    <xf numFmtId="0" fontId="16" fillId="0" borderId="0" xfId="269" applyFont="1" applyFill="1" applyAlignment="1">
      <alignment horizontal="center"/>
      <protection/>
    </xf>
    <xf numFmtId="9" fontId="9" fillId="0" borderId="0" xfId="269"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9" applyFont="1" applyFill="1">
      <alignment/>
      <protection/>
    </xf>
    <xf numFmtId="41" fontId="0" fillId="0" borderId="0" xfId="269" applyNumberFormat="1" applyFont="1" applyFill="1">
      <alignment/>
      <protection/>
    </xf>
    <xf numFmtId="0" fontId="14" fillId="0" borderId="0" xfId="269" applyFont="1" applyFill="1" applyAlignment="1">
      <alignment horizontal="left"/>
      <protection/>
    </xf>
    <xf numFmtId="3" fontId="0" fillId="0" borderId="0" xfId="0" applyNumberFormat="1" applyFont="1" applyFill="1" applyAlignment="1">
      <alignment/>
    </xf>
    <xf numFmtId="0" fontId="3" fillId="0" borderId="0" xfId="269" applyFont="1" applyFill="1" applyAlignment="1">
      <alignment horizontal="right"/>
      <protection/>
    </xf>
    <xf numFmtId="40" fontId="0" fillId="0" borderId="0" xfId="0" applyNumberFormat="1" applyFont="1" applyFill="1" applyAlignment="1">
      <alignment/>
    </xf>
    <xf numFmtId="0" fontId="0" fillId="0" borderId="0" xfId="269" applyFont="1">
      <alignment/>
      <protection/>
    </xf>
    <xf numFmtId="0" fontId="3" fillId="0" borderId="0" xfId="269" applyFont="1" applyFill="1">
      <alignment/>
      <protection/>
    </xf>
    <xf numFmtId="0" fontId="9" fillId="0" borderId="0" xfId="269" applyFont="1" applyFill="1" applyBorder="1" applyAlignment="1">
      <alignment horizontal="left"/>
      <protection/>
    </xf>
    <xf numFmtId="0" fontId="9" fillId="0" borderId="0" xfId="269" applyFont="1" applyFill="1" applyBorder="1">
      <alignment/>
      <protection/>
    </xf>
    <xf numFmtId="0" fontId="0" fillId="0" borderId="0" xfId="269" applyFont="1" applyAlignment="1">
      <alignment horizontal="left"/>
      <protection/>
    </xf>
    <xf numFmtId="0" fontId="4" fillId="0" borderId="0" xfId="26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9" applyNumberFormat="1" applyFont="1" applyFill="1" applyBorder="1">
      <alignment/>
      <protection/>
    </xf>
    <xf numFmtId="0" fontId="24" fillId="0" borderId="0" xfId="269" applyFont="1" applyFill="1" applyAlignment="1">
      <alignment horizontal="left"/>
      <protection/>
    </xf>
    <xf numFmtId="0" fontId="3" fillId="0" borderId="0" xfId="269" applyFont="1" applyFill="1">
      <alignment/>
      <protection/>
    </xf>
    <xf numFmtId="0" fontId="3" fillId="0" borderId="0" xfId="269" applyFont="1" applyFill="1" applyAlignment="1">
      <alignment horizontal="left"/>
      <protection/>
    </xf>
    <xf numFmtId="0" fontId="25" fillId="0" borderId="0" xfId="269" applyFont="1" applyFill="1" applyBorder="1">
      <alignment/>
      <protection/>
    </xf>
    <xf numFmtId="0" fontId="10" fillId="0" borderId="0" xfId="269" applyFont="1" applyFill="1" applyAlignment="1">
      <alignment horizontal="center"/>
      <protection/>
    </xf>
    <xf numFmtId="173" fontId="4" fillId="0" borderId="0" xfId="100" applyNumberFormat="1" applyFont="1" applyFill="1" applyAlignment="1">
      <alignment horizontal="center"/>
    </xf>
    <xf numFmtId="0" fontId="3" fillId="0" borderId="0" xfId="269" applyFont="1" applyFill="1" applyAlignment="1">
      <alignment horizontal="center"/>
      <protection/>
    </xf>
    <xf numFmtId="0" fontId="26" fillId="0" borderId="0" xfId="269" applyFont="1" applyFill="1" applyBorder="1">
      <alignment/>
      <protection/>
    </xf>
    <xf numFmtId="0" fontId="10" fillId="0" borderId="0" xfId="269" applyFont="1" applyAlignment="1">
      <alignment horizontal="center"/>
      <protection/>
    </xf>
    <xf numFmtId="41" fontId="3" fillId="0" borderId="13" xfId="269"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9" applyNumberFormat="1" applyFont="1" applyFill="1">
      <alignment/>
      <protection/>
    </xf>
    <xf numFmtId="0" fontId="7" fillId="0" borderId="0" xfId="227" applyFont="1" applyFill="1" applyBorder="1" applyAlignment="1">
      <alignment horizontal="left"/>
      <protection/>
    </xf>
    <xf numFmtId="0" fontId="0" fillId="0" borderId="0" xfId="227" applyFont="1" applyBorder="1" applyAlignment="1">
      <alignment/>
      <protection/>
    </xf>
    <xf numFmtId="0" fontId="0" fillId="0" borderId="0" xfId="227" applyFont="1" applyBorder="1" applyAlignment="1">
      <alignment horizontal="center"/>
      <protection/>
    </xf>
    <xf numFmtId="0" fontId="0" fillId="0" borderId="0" xfId="227" applyFont="1" applyBorder="1">
      <alignment/>
      <protection/>
    </xf>
    <xf numFmtId="0" fontId="0" fillId="0" borderId="0" xfId="227" applyNumberFormat="1" applyFont="1" applyFill="1" applyBorder="1" applyAlignment="1">
      <alignment horizontal="left"/>
      <protection/>
    </xf>
    <xf numFmtId="0" fontId="9" fillId="0" borderId="0" xfId="227" applyNumberFormat="1" applyFont="1" applyFill="1" applyBorder="1" applyAlignment="1">
      <alignment horizontal="left"/>
      <protection/>
    </xf>
    <xf numFmtId="0" fontId="0" fillId="0" borderId="0" xfId="227" applyFont="1" applyFill="1" applyBorder="1" applyAlignment="1">
      <alignment horizontal="center" wrapText="1"/>
      <protection/>
    </xf>
    <xf numFmtId="3" fontId="0" fillId="0" borderId="0" xfId="227" applyNumberFormat="1" applyFont="1" applyFill="1" applyBorder="1" applyAlignment="1">
      <alignment/>
      <protection/>
    </xf>
    <xf numFmtId="0" fontId="0" fillId="0" borderId="0" xfId="227" applyFont="1" applyFill="1" applyBorder="1" applyAlignment="1">
      <alignment/>
      <protection/>
    </xf>
    <xf numFmtId="0" fontId="0" fillId="0" borderId="0" xfId="227"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7" applyFont="1" applyFill="1" applyBorder="1" applyAlignment="1">
      <alignment/>
      <protection/>
    </xf>
    <xf numFmtId="0" fontId="0" fillId="0" borderId="0" xfId="227" applyFont="1" applyFill="1" applyBorder="1">
      <alignment/>
      <protection/>
    </xf>
    <xf numFmtId="0" fontId="9" fillId="0" borderId="0" xfId="227" applyFont="1" applyBorder="1" applyAlignment="1">
      <alignment/>
      <protection/>
    </xf>
    <xf numFmtId="0" fontId="9" fillId="0" borderId="0" xfId="227" applyNumberFormat="1" applyFont="1" applyFill="1" applyBorder="1" applyAlignment="1">
      <alignment horizontal="center"/>
      <protection/>
    </xf>
    <xf numFmtId="164" fontId="0" fillId="0" borderId="0" xfId="292" applyNumberFormat="1" applyFont="1" applyFill="1" applyBorder="1" applyAlignment="1">
      <alignment/>
    </xf>
    <xf numFmtId="173" fontId="0" fillId="0" borderId="0" xfId="104" applyNumberFormat="1" applyFont="1" applyFill="1" applyBorder="1" applyAlignment="1">
      <alignment horizontal="left"/>
    </xf>
    <xf numFmtId="0" fontId="0" fillId="0" borderId="0" xfId="227" applyFont="1" applyFill="1" applyBorder="1" applyAlignment="1">
      <alignment horizontal="center"/>
      <protection/>
    </xf>
    <xf numFmtId="3" fontId="0" fillId="0" borderId="0" xfId="227" applyNumberFormat="1" applyFont="1" applyFill="1" applyBorder="1" applyAlignment="1">
      <alignment horizontal="right"/>
      <protection/>
    </xf>
    <xf numFmtId="3" fontId="0" fillId="0" borderId="0" xfId="227"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9" applyFont="1" applyFill="1">
      <alignment/>
      <protection/>
    </xf>
    <xf numFmtId="0" fontId="16" fillId="0" borderId="0" xfId="227" applyFont="1" applyFill="1" applyBorder="1" applyAlignment="1">
      <alignment horizontal="left"/>
      <protection/>
    </xf>
    <xf numFmtId="0" fontId="9" fillId="0" borderId="0" xfId="227" applyFont="1" applyFill="1" applyBorder="1" applyAlignment="1">
      <alignment horizontal="left"/>
      <protection/>
    </xf>
    <xf numFmtId="0" fontId="9" fillId="0" borderId="0" xfId="227"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7" applyFont="1" applyBorder="1" applyAlignment="1">
      <alignment horizontal="center"/>
      <protection/>
    </xf>
    <xf numFmtId="0" fontId="0" fillId="0" borderId="0" xfId="269" applyFont="1" applyAlignment="1">
      <alignment horizontal="center"/>
      <protection/>
    </xf>
    <xf numFmtId="0" fontId="3" fillId="0" borderId="0" xfId="227" applyFont="1" applyBorder="1" applyAlignment="1">
      <alignment horizontal="center"/>
      <protection/>
    </xf>
    <xf numFmtId="49" fontId="3" fillId="0" borderId="0" xfId="269" applyNumberFormat="1" applyFont="1" applyAlignment="1">
      <alignment horizontal="center"/>
      <protection/>
    </xf>
    <xf numFmtId="0" fontId="0" fillId="0" borderId="0" xfId="0" applyAlignment="1">
      <alignment horizontal="right"/>
    </xf>
    <xf numFmtId="0" fontId="9" fillId="0" borderId="0" xfId="227" applyFont="1" applyBorder="1">
      <alignment/>
      <protection/>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0" applyNumberFormat="1" applyFont="1">
      <alignment/>
      <protection/>
    </xf>
    <xf numFmtId="0" fontId="66" fillId="0" borderId="0" xfId="280" applyFont="1">
      <alignment/>
      <protection/>
    </xf>
    <xf numFmtId="186" fontId="17" fillId="0" borderId="0" xfId="280" applyNumberFormat="1" applyFont="1" applyAlignment="1">
      <alignment horizontal="center"/>
      <protection/>
    </xf>
    <xf numFmtId="0" fontId="0" fillId="0" borderId="0" xfId="280" applyFont="1">
      <alignment/>
      <protection/>
    </xf>
    <xf numFmtId="0" fontId="17" fillId="0" borderId="0" xfId="280" applyFont="1">
      <alignment/>
      <protection/>
    </xf>
    <xf numFmtId="0" fontId="17" fillId="0" borderId="0" xfId="280" applyNumberFormat="1" applyFont="1" applyAlignment="1">
      <alignment horizontal="center"/>
      <protection/>
    </xf>
    <xf numFmtId="0" fontId="17" fillId="0" borderId="0" xfId="280" applyNumberFormat="1" applyFont="1">
      <alignment/>
      <protection/>
    </xf>
    <xf numFmtId="0" fontId="17" fillId="0" borderId="0" xfId="280" applyNumberFormat="1" applyFont="1" applyBorder="1" applyAlignment="1">
      <alignment horizontal="center"/>
      <protection/>
    </xf>
    <xf numFmtId="186" fontId="67" fillId="0" borderId="0" xfId="280" applyNumberFormat="1" applyFont="1">
      <alignment/>
      <protection/>
    </xf>
    <xf numFmtId="0" fontId="68" fillId="0" borderId="0" xfId="280" applyFont="1">
      <alignment/>
      <protection/>
    </xf>
    <xf numFmtId="173" fontId="66" fillId="0" borderId="0" xfId="280" applyNumberFormat="1" applyFont="1">
      <alignment/>
      <protection/>
    </xf>
    <xf numFmtId="0" fontId="69" fillId="0" borderId="0" xfId="280" applyFont="1">
      <alignment/>
      <protection/>
    </xf>
    <xf numFmtId="186" fontId="0" fillId="0" borderId="0" xfId="280" applyNumberFormat="1" applyFont="1">
      <alignment/>
      <protection/>
    </xf>
    <xf numFmtId="0" fontId="17" fillId="0" borderId="0" xfId="277" applyFont="1" applyFill="1" applyAlignment="1">
      <alignment horizontal="center"/>
      <protection/>
    </xf>
    <xf numFmtId="0" fontId="17" fillId="0" borderId="0" xfId="277" applyFont="1" applyFill="1" applyAlignment="1">
      <alignment horizontal="left" indent="2"/>
      <protection/>
    </xf>
    <xf numFmtId="39" fontId="17" fillId="0" borderId="0" xfId="277" applyNumberFormat="1" applyFont="1" applyFill="1">
      <alignment/>
      <protection/>
    </xf>
    <xf numFmtId="0" fontId="66" fillId="0" borderId="0" xfId="280" applyFont="1" applyFill="1">
      <alignment/>
      <protection/>
    </xf>
    <xf numFmtId="0" fontId="0" fillId="0" borderId="0" xfId="280" applyNumberFormat="1" applyFont="1" applyAlignment="1">
      <alignment horizontal="center"/>
      <protection/>
    </xf>
    <xf numFmtId="0" fontId="0" fillId="0" borderId="0" xfId="280" applyNumberFormat="1" applyFont="1">
      <alignment/>
      <protection/>
    </xf>
    <xf numFmtId="43" fontId="66" fillId="0" borderId="0" xfId="100" applyFont="1" applyAlignment="1">
      <alignment/>
    </xf>
    <xf numFmtId="173" fontId="70" fillId="0" borderId="0" xfId="280" applyNumberFormat="1" applyFont="1">
      <alignment/>
      <protection/>
    </xf>
    <xf numFmtId="186" fontId="3" fillId="0" borderId="0" xfId="280"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0" applyNumberFormat="1" applyFont="1" applyBorder="1">
      <alignment/>
      <protection/>
    </xf>
    <xf numFmtId="10" fontId="3" fillId="0" borderId="14" xfId="0" applyNumberFormat="1" applyFont="1" applyFill="1" applyBorder="1" applyAlignment="1">
      <alignment/>
    </xf>
    <xf numFmtId="0" fontId="73" fillId="0" borderId="0" xfId="280"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9" applyNumberFormat="1" applyFont="1">
      <alignment/>
      <protection/>
    </xf>
    <xf numFmtId="173" fontId="0" fillId="0" borderId="0" xfId="100" applyNumberFormat="1" applyFont="1" applyFill="1" applyAlignment="1">
      <alignment/>
    </xf>
    <xf numFmtId="0" fontId="9" fillId="0" borderId="0" xfId="269" applyFont="1" applyAlignment="1">
      <alignment horizontal="center" wrapText="1"/>
      <protection/>
    </xf>
    <xf numFmtId="38" fontId="0" fillId="0" borderId="0" xfId="0" applyNumberFormat="1" applyFont="1" applyFill="1" applyBorder="1" applyAlignment="1">
      <alignment horizontal="center"/>
    </xf>
    <xf numFmtId="0" fontId="0" fillId="0" borderId="0" xfId="269" applyFill="1" applyAlignment="1">
      <alignment horizontal="left"/>
      <protection/>
    </xf>
    <xf numFmtId="0" fontId="74" fillId="0" borderId="0" xfId="269" applyFont="1" applyFill="1" applyBorder="1" applyAlignment="1">
      <alignment horizontal="left"/>
      <protection/>
    </xf>
    <xf numFmtId="0" fontId="0" fillId="0" borderId="0" xfId="269" applyFill="1">
      <alignment/>
      <protection/>
    </xf>
    <xf numFmtId="0" fontId="74" fillId="0" borderId="0" xfId="269" applyFont="1" applyFill="1" applyBorder="1">
      <alignment/>
      <protection/>
    </xf>
    <xf numFmtId="0" fontId="64" fillId="0" borderId="0" xfId="269"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7" applyNumberFormat="1" applyFont="1" applyFill="1" applyBorder="1" applyAlignment="1">
      <alignment horizontal="left"/>
      <protection/>
    </xf>
    <xf numFmtId="38" fontId="0" fillId="0" borderId="0" xfId="227" applyNumberFormat="1" applyFont="1" applyFill="1" applyBorder="1" applyAlignment="1">
      <alignment horizontal="right"/>
      <protection/>
    </xf>
    <xf numFmtId="0" fontId="0" fillId="0" borderId="0" xfId="227"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7" applyFont="1" applyBorder="1" applyAlignment="1">
      <alignment horizontal="center"/>
      <protection/>
    </xf>
    <xf numFmtId="38" fontId="8" fillId="0" borderId="0" xfId="227" applyNumberFormat="1" applyFont="1" applyFill="1" applyBorder="1" applyAlignment="1">
      <alignment/>
      <protection/>
    </xf>
    <xf numFmtId="173" fontId="8" fillId="0" borderId="14" xfId="100" applyNumberFormat="1" applyFont="1" applyFill="1" applyBorder="1" applyAlignment="1">
      <alignment/>
    </xf>
    <xf numFmtId="0" fontId="0" fillId="0" borderId="14" xfId="227" applyNumberFormat="1" applyFont="1" applyFill="1" applyBorder="1" applyAlignment="1">
      <alignment horizontal="left"/>
      <protection/>
    </xf>
    <xf numFmtId="0" fontId="17" fillId="0" borderId="0" xfId="280" applyNumberFormat="1" applyFont="1" applyFill="1" applyAlignment="1">
      <alignment horizontal="center"/>
      <protection/>
    </xf>
    <xf numFmtId="0" fontId="0" fillId="0" borderId="0" xfId="280" applyNumberFormat="1" applyFont="1" applyFill="1">
      <alignment/>
      <protection/>
    </xf>
    <xf numFmtId="41" fontId="66" fillId="0" borderId="0" xfId="280" applyNumberFormat="1" applyFont="1" applyFill="1">
      <alignment/>
      <protection/>
    </xf>
    <xf numFmtId="41" fontId="66" fillId="0" borderId="0" xfId="280" applyNumberFormat="1" applyFont="1" applyFill="1" applyBorder="1">
      <alignment/>
      <protection/>
    </xf>
    <xf numFmtId="173" fontId="66" fillId="0" borderId="0" xfId="280" applyNumberFormat="1" applyFont="1" applyFill="1">
      <alignment/>
      <protection/>
    </xf>
    <xf numFmtId="10" fontId="66" fillId="0" borderId="11" xfId="290"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9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0" applyNumberFormat="1" applyFont="1" applyAlignment="1">
      <alignment/>
    </xf>
    <xf numFmtId="174" fontId="0" fillId="0" borderId="0" xfId="130"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9" applyFont="1">
      <alignment/>
      <protection/>
    </xf>
    <xf numFmtId="0" fontId="0" fillId="0" borderId="0" xfId="269" applyAlignment="1">
      <alignment horizontal="left"/>
      <protection/>
    </xf>
    <xf numFmtId="0" fontId="0" fillId="0" borderId="0" xfId="269">
      <alignment/>
      <protection/>
    </xf>
    <xf numFmtId="0" fontId="14" fillId="0" borderId="0" xfId="269" applyFont="1" applyAlignment="1">
      <alignment horizontal="left"/>
      <protection/>
    </xf>
    <xf numFmtId="173" fontId="0" fillId="0" borderId="0" xfId="227" applyNumberFormat="1" applyFont="1" applyFill="1" applyBorder="1">
      <alignment/>
      <protection/>
    </xf>
    <xf numFmtId="0" fontId="0" fillId="20" borderId="0" xfId="227" applyNumberFormat="1" applyFont="1" applyFill="1" applyBorder="1" applyAlignment="1">
      <alignment horizontal="center"/>
      <protection/>
    </xf>
    <xf numFmtId="0" fontId="9" fillId="20" borderId="0" xfId="227" applyNumberFormat="1" applyFont="1" applyFill="1" applyBorder="1" applyAlignment="1">
      <alignment horizontal="left"/>
      <protection/>
    </xf>
    <xf numFmtId="0" fontId="8" fillId="20" borderId="0" xfId="227" applyFont="1" applyFill="1" applyBorder="1" applyAlignment="1">
      <alignment/>
      <protection/>
    </xf>
    <xf numFmtId="0" fontId="0" fillId="20" borderId="0" xfId="227" applyNumberFormat="1" applyFont="1" applyFill="1" applyBorder="1" applyAlignment="1">
      <alignment horizontal="left"/>
      <protection/>
    </xf>
    <xf numFmtId="0" fontId="0" fillId="20" borderId="0" xfId="227"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2" applyNumberFormat="1" applyFont="1" applyFill="1" applyBorder="1" applyAlignment="1">
      <alignment/>
    </xf>
    <xf numFmtId="173" fontId="0" fillId="20" borderId="0" xfId="104" applyNumberFormat="1" applyFont="1" applyFill="1" applyBorder="1" applyAlignment="1">
      <alignment horizontal="left"/>
    </xf>
    <xf numFmtId="0" fontId="14" fillId="0" borderId="0" xfId="269" applyFont="1" applyAlignment="1">
      <alignment/>
      <protection/>
    </xf>
    <xf numFmtId="0" fontId="12" fillId="0" borderId="0" xfId="0" applyFont="1" applyBorder="1" applyAlignment="1">
      <alignment/>
    </xf>
    <xf numFmtId="0" fontId="16" fillId="0" borderId="0" xfId="227" applyFont="1" applyFill="1" applyBorder="1" applyAlignment="1">
      <alignment horizontal="center"/>
      <protection/>
    </xf>
    <xf numFmtId="0" fontId="12" fillId="0" borderId="0" xfId="227"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9" applyFont="1" applyFill="1">
      <alignment/>
      <protection/>
    </xf>
    <xf numFmtId="0" fontId="77" fillId="0" borderId="0" xfId="269" applyFont="1" applyFill="1">
      <alignment/>
      <protection/>
    </xf>
    <xf numFmtId="9" fontId="10" fillId="0" borderId="0" xfId="269" applyNumberFormat="1" applyFont="1" applyFill="1" applyAlignment="1" quotePrefix="1">
      <alignment horizontal="center"/>
      <protection/>
    </xf>
    <xf numFmtId="0" fontId="2" fillId="0" borderId="0" xfId="280" applyNumberFormat="1" applyFont="1" applyAlignment="1">
      <alignment horizontal="center"/>
      <protection/>
    </xf>
    <xf numFmtId="0" fontId="2" fillId="0" borderId="0" xfId="280" applyNumberFormat="1" applyFont="1">
      <alignment/>
      <protection/>
    </xf>
    <xf numFmtId="186" fontId="2" fillId="0" borderId="0" xfId="280" applyNumberFormat="1" applyFont="1" applyAlignment="1">
      <alignment horizontal="center"/>
      <protection/>
    </xf>
    <xf numFmtId="0" fontId="9" fillId="0" borderId="0" xfId="280" applyFont="1">
      <alignment/>
      <protection/>
    </xf>
    <xf numFmtId="0" fontId="2" fillId="0" borderId="11" xfId="280" applyNumberFormat="1" applyFont="1" applyBorder="1" applyAlignment="1">
      <alignment horizontal="center"/>
      <protection/>
    </xf>
    <xf numFmtId="186" fontId="2" fillId="0" borderId="11" xfId="280" applyNumberFormat="1" applyFont="1" applyBorder="1" applyAlignment="1">
      <alignment horizontal="center"/>
      <protection/>
    </xf>
    <xf numFmtId="0" fontId="69" fillId="0" borderId="11" xfId="280" applyFont="1" applyBorder="1" applyAlignment="1">
      <alignment horizontal="center"/>
      <protection/>
    </xf>
    <xf numFmtId="0" fontId="9" fillId="0" borderId="0" xfId="280" applyFont="1" applyAlignment="1">
      <alignment horizontal="center"/>
      <protection/>
    </xf>
    <xf numFmtId="0" fontId="78" fillId="0" borderId="0" xfId="280" applyFont="1" applyFill="1">
      <alignment/>
      <protection/>
    </xf>
    <xf numFmtId="6" fontId="0" fillId="0" borderId="0" xfId="0" applyNumberFormat="1" applyFont="1" applyAlignment="1">
      <alignment horizontal="right"/>
    </xf>
    <xf numFmtId="174" fontId="0" fillId="0" borderId="0" xfId="130"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90" applyFont="1" applyFill="1" applyAlignment="1">
      <alignment/>
    </xf>
    <xf numFmtId="41" fontId="81" fillId="25" borderId="0" xfId="280" applyNumberFormat="1" applyFont="1" applyFill="1">
      <alignment/>
      <protection/>
    </xf>
    <xf numFmtId="41" fontId="81" fillId="25" borderId="0" xfId="280" applyNumberFormat="1" applyFont="1" applyFill="1" applyBorder="1">
      <alignment/>
      <protection/>
    </xf>
    <xf numFmtId="10" fontId="66" fillId="0" borderId="0" xfId="290" applyNumberFormat="1" applyFont="1" applyFill="1" applyAlignment="1">
      <alignment/>
    </xf>
    <xf numFmtId="10" fontId="66" fillId="0" borderId="0" xfId="290" applyNumberFormat="1" applyFont="1" applyFill="1" applyBorder="1" applyAlignment="1">
      <alignment/>
    </xf>
    <xf numFmtId="0" fontId="85" fillId="0" borderId="0" xfId="0" applyFont="1" applyBorder="1" applyAlignment="1">
      <alignment horizontal="center"/>
    </xf>
    <xf numFmtId="0" fontId="84" fillId="0" borderId="0" xfId="269" applyFont="1" applyFill="1" applyAlignment="1">
      <alignment horizontal="center"/>
      <protection/>
    </xf>
    <xf numFmtId="173" fontId="0" fillId="0" borderId="0" xfId="280" applyNumberFormat="1" applyFont="1">
      <alignment/>
      <protection/>
    </xf>
    <xf numFmtId="164" fontId="66" fillId="0" borderId="0" xfId="290" applyNumberFormat="1" applyFont="1" applyFill="1" applyAlignment="1">
      <alignment/>
    </xf>
    <xf numFmtId="0" fontId="3" fillId="0" borderId="0" xfId="280" applyFont="1">
      <alignment/>
      <protection/>
    </xf>
    <xf numFmtId="173" fontId="3" fillId="0" borderId="0" xfId="280" applyNumberFormat="1" applyFont="1">
      <alignment/>
      <protection/>
    </xf>
    <xf numFmtId="164" fontId="0" fillId="0" borderId="0" xfId="290" applyNumberFormat="1" applyFont="1" applyAlignment="1">
      <alignment/>
    </xf>
    <xf numFmtId="173" fontId="87" fillId="0" borderId="0" xfId="280" applyNumberFormat="1" applyFont="1" applyFill="1" applyBorder="1">
      <alignment/>
      <protection/>
    </xf>
    <xf numFmtId="0" fontId="21" fillId="0" borderId="0" xfId="269" applyFont="1" applyFill="1" applyAlignment="1">
      <alignment horizontal="center"/>
      <protection/>
    </xf>
    <xf numFmtId="37" fontId="0" fillId="0" borderId="15" xfId="0" applyNumberFormat="1" applyFont="1" applyFill="1" applyBorder="1" applyAlignment="1">
      <alignment/>
    </xf>
    <xf numFmtId="37" fontId="0" fillId="0" borderId="0" xfId="227" applyNumberFormat="1" applyFont="1" applyFill="1" applyBorder="1" applyAlignment="1">
      <alignment horizontal="right"/>
      <protection/>
    </xf>
    <xf numFmtId="37" fontId="8" fillId="0" borderId="0" xfId="227" applyNumberFormat="1" applyFont="1" applyFill="1" applyBorder="1" applyAlignment="1">
      <alignment/>
      <protection/>
    </xf>
    <xf numFmtId="0" fontId="90" fillId="0" borderId="0" xfId="269"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90" applyFont="1" applyAlignment="1">
      <alignment/>
    </xf>
    <xf numFmtId="0" fontId="9" fillId="0" borderId="0" xfId="0" applyFont="1" applyAlignment="1">
      <alignment horizontal="center" wrapText="1"/>
    </xf>
    <xf numFmtId="0" fontId="17" fillId="0" borderId="0" xfId="277" applyFont="1" applyFill="1" applyAlignment="1">
      <alignment horizontal="center"/>
      <protection/>
    </xf>
    <xf numFmtId="0" fontId="0" fillId="0" borderId="0" xfId="269" applyFont="1" applyFill="1" applyAlignment="1">
      <alignment horizontal="left"/>
      <protection/>
    </xf>
    <xf numFmtId="0" fontId="0" fillId="0" borderId="0" xfId="269" applyFont="1" applyFill="1">
      <alignment/>
      <protection/>
    </xf>
    <xf numFmtId="0" fontId="93" fillId="0" borderId="0" xfId="269" applyFont="1" applyFill="1" applyAlignment="1">
      <alignment horizontal="center"/>
      <protection/>
    </xf>
    <xf numFmtId="0" fontId="94" fillId="0" borderId="0" xfId="269" applyFont="1" applyFill="1" applyBorder="1">
      <alignment/>
      <protection/>
    </xf>
    <xf numFmtId="193" fontId="95" fillId="0" borderId="0" xfId="227"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7" applyNumberFormat="1" applyFont="1" applyBorder="1" applyAlignment="1">
      <alignment horizontal="center"/>
      <protection/>
    </xf>
    <xf numFmtId="0" fontId="96" fillId="0" borderId="0" xfId="280" applyFont="1" applyFill="1">
      <alignment/>
      <protection/>
    </xf>
    <xf numFmtId="41" fontId="96" fillId="0" borderId="0" xfId="280" applyNumberFormat="1" applyFont="1" applyFill="1">
      <alignment/>
      <protection/>
    </xf>
    <xf numFmtId="41" fontId="96" fillId="0" borderId="0" xfId="280"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9" applyFont="1" applyFill="1" applyBorder="1" applyAlignment="1">
      <alignment horizontal="center"/>
      <protection/>
    </xf>
    <xf numFmtId="0" fontId="3" fillId="0" borderId="0" xfId="0" applyFont="1" applyBorder="1" applyAlignment="1">
      <alignment horizontal="center"/>
    </xf>
    <xf numFmtId="0" fontId="2" fillId="0" borderId="0" xfId="280" applyNumberFormat="1" applyFont="1" applyBorder="1" applyAlignment="1">
      <alignment horizontal="center"/>
      <protection/>
    </xf>
    <xf numFmtId="0" fontId="0" fillId="0" borderId="0" xfId="280" applyFont="1" applyBorder="1">
      <alignment/>
      <protection/>
    </xf>
    <xf numFmtId="0" fontId="2" fillId="0" borderId="11" xfId="280" applyNumberFormat="1" applyFont="1" applyBorder="1">
      <alignment/>
      <protection/>
    </xf>
    <xf numFmtId="186" fontId="2" fillId="0" borderId="0" xfId="280" applyNumberFormat="1" applyFont="1" applyBorder="1" applyAlignment="1">
      <alignment horizontal="center"/>
      <protection/>
    </xf>
    <xf numFmtId="0" fontId="0" fillId="0" borderId="0" xfId="280" applyFont="1" applyFill="1">
      <alignment/>
      <protection/>
    </xf>
    <xf numFmtId="0" fontId="66" fillId="0" borderId="0" xfId="280" applyFont="1" applyAlignment="1">
      <alignment horizontal="center"/>
      <protection/>
    </xf>
    <xf numFmtId="173" fontId="72" fillId="0" borderId="0" xfId="280" applyNumberFormat="1" applyFont="1" applyFill="1" applyBorder="1">
      <alignment/>
      <protection/>
    </xf>
    <xf numFmtId="0" fontId="17" fillId="0" borderId="0" xfId="280" applyFont="1" applyFill="1">
      <alignment/>
      <protection/>
    </xf>
    <xf numFmtId="3" fontId="72" fillId="0" borderId="0" xfId="280" applyNumberFormat="1" applyFont="1" applyFill="1" applyBorder="1">
      <alignment/>
      <protection/>
    </xf>
    <xf numFmtId="173" fontId="72" fillId="0" borderId="0" xfId="280" applyNumberFormat="1" applyFont="1" applyFill="1">
      <alignment/>
      <protection/>
    </xf>
    <xf numFmtId="0" fontId="0" fillId="0" borderId="0" xfId="0" applyBorder="1" applyAlignment="1">
      <alignment horizontal="center"/>
    </xf>
    <xf numFmtId="0" fontId="66" fillId="0" borderId="0" xfId="280" applyFont="1" applyFill="1" applyBorder="1">
      <alignment/>
      <protection/>
    </xf>
    <xf numFmtId="173" fontId="66" fillId="0" borderId="0" xfId="280" applyNumberFormat="1" applyFont="1" applyFill="1" applyBorder="1">
      <alignment/>
      <protection/>
    </xf>
    <xf numFmtId="0" fontId="0" fillId="0" borderId="0" xfId="269" applyFont="1" applyAlignment="1">
      <alignment horizontal="center"/>
      <protection/>
    </xf>
    <xf numFmtId="0" fontId="17" fillId="0" borderId="0" xfId="280" applyNumberFormat="1" applyFont="1" applyFill="1">
      <alignment/>
      <protection/>
    </xf>
    <xf numFmtId="173" fontId="110" fillId="0" borderId="0" xfId="0" applyNumberFormat="1" applyFont="1" applyAlignment="1">
      <alignment/>
    </xf>
    <xf numFmtId="0" fontId="0" fillId="0" borderId="0" xfId="227" applyFont="1" applyFill="1" applyBorder="1" applyAlignment="1">
      <alignment horizontal="center"/>
      <protection/>
    </xf>
    <xf numFmtId="0" fontId="9" fillId="0" borderId="0" xfId="227" applyFont="1" applyFill="1" applyBorder="1" applyAlignment="1">
      <alignment horizontal="left"/>
      <protection/>
    </xf>
    <xf numFmtId="0" fontId="0" fillId="0" borderId="0" xfId="227" applyNumberFormat="1" applyFont="1" applyFill="1" applyBorder="1" applyAlignment="1">
      <alignment horizontal="center"/>
      <protection/>
    </xf>
    <xf numFmtId="0" fontId="0" fillId="0" borderId="0" xfId="227" applyNumberFormat="1" applyFont="1" applyFill="1" applyBorder="1" applyAlignment="1">
      <alignment horizontal="left"/>
      <protection/>
    </xf>
    <xf numFmtId="0" fontId="0" fillId="0" borderId="0" xfId="227" applyFont="1" applyFill="1" applyBorder="1" applyAlignment="1">
      <alignment/>
      <protection/>
    </xf>
    <xf numFmtId="0" fontId="0" fillId="0" borderId="0" xfId="227" applyFont="1" applyFill="1" applyBorder="1" applyAlignment="1">
      <alignment horizontal="center"/>
      <protection/>
    </xf>
    <xf numFmtId="0" fontId="0" fillId="0" borderId="0" xfId="227" applyFont="1" applyBorder="1">
      <alignment/>
      <protection/>
    </xf>
    <xf numFmtId="0" fontId="0" fillId="0" borderId="0" xfId="227" applyFont="1" applyFill="1" applyBorder="1">
      <alignment/>
      <protection/>
    </xf>
    <xf numFmtId="3" fontId="0" fillId="0" borderId="0" xfId="227" applyNumberFormat="1" applyFont="1" applyFill="1" applyBorder="1" applyAlignment="1">
      <alignment/>
      <protection/>
    </xf>
    <xf numFmtId="0" fontId="0" fillId="0" borderId="0" xfId="227" applyFont="1" applyFill="1" applyBorder="1">
      <alignment/>
      <protection/>
    </xf>
    <xf numFmtId="0" fontId="9" fillId="0" borderId="0" xfId="0" applyFont="1" applyAlignment="1">
      <alignment horizontal="center"/>
    </xf>
    <xf numFmtId="41" fontId="0" fillId="0" borderId="0" xfId="0" applyNumberFormat="1" applyFill="1" applyAlignment="1">
      <alignment/>
    </xf>
    <xf numFmtId="173" fontId="72" fillId="26" borderId="0" xfId="280" applyNumberFormat="1" applyFont="1" applyFill="1" applyBorder="1">
      <alignment/>
      <protection/>
    </xf>
    <xf numFmtId="0" fontId="66" fillId="26" borderId="0" xfId="280" applyFont="1" applyFill="1" applyAlignment="1">
      <alignment horizontal="center"/>
      <protection/>
    </xf>
    <xf numFmtId="174" fontId="0" fillId="0" borderId="0" xfId="130" applyNumberFormat="1" applyFont="1" applyAlignment="1">
      <alignment/>
    </xf>
    <xf numFmtId="0" fontId="0" fillId="0" borderId="0" xfId="269" applyFont="1" applyFill="1" applyAlignment="1">
      <alignment horizontal="center"/>
      <protection/>
    </xf>
    <xf numFmtId="3" fontId="0" fillId="26" borderId="0" xfId="227"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90" applyNumberFormat="1" applyFont="1" applyFill="1" applyAlignment="1">
      <alignment/>
    </xf>
    <xf numFmtId="0" fontId="69" fillId="0" borderId="0" xfId="280" applyFont="1" applyFill="1">
      <alignment/>
      <protection/>
    </xf>
    <xf numFmtId="41" fontId="66" fillId="26" borderId="0" xfId="280" applyNumberFormat="1" applyFont="1" applyFill="1">
      <alignment/>
      <protection/>
    </xf>
    <xf numFmtId="0" fontId="66" fillId="26" borderId="0" xfId="280" applyFont="1" applyFill="1">
      <alignment/>
      <protection/>
    </xf>
    <xf numFmtId="10" fontId="66" fillId="26" borderId="0" xfId="290" applyNumberFormat="1" applyFont="1" applyFill="1" applyBorder="1" applyAlignment="1">
      <alignment/>
    </xf>
    <xf numFmtId="41" fontId="81" fillId="27" borderId="0" xfId="280" applyNumberFormat="1" applyFont="1" applyFill="1">
      <alignment/>
      <protection/>
    </xf>
    <xf numFmtId="41" fontId="81" fillId="27" borderId="0" xfId="280" applyNumberFormat="1" applyFont="1" applyFill="1" applyBorder="1">
      <alignment/>
      <protection/>
    </xf>
    <xf numFmtId="10" fontId="66" fillId="26" borderId="11" xfId="290" applyNumberFormat="1" applyFont="1" applyFill="1" applyBorder="1" applyAlignment="1">
      <alignment/>
    </xf>
    <xf numFmtId="173" fontId="66" fillId="26" borderId="0" xfId="100" applyNumberFormat="1" applyFont="1" applyFill="1" applyAlignment="1">
      <alignment/>
    </xf>
    <xf numFmtId="41" fontId="66" fillId="26" borderId="0" xfId="280" applyNumberFormat="1" applyFont="1" applyFill="1" applyBorder="1">
      <alignment/>
      <protection/>
    </xf>
    <xf numFmtId="172" fontId="1" fillId="0" borderId="0" xfId="279" applyFont="1" applyAlignment="1" applyProtection="1">
      <alignment/>
      <protection/>
    </xf>
    <xf numFmtId="172" fontId="3" fillId="0" borderId="0" xfId="279" applyFont="1" applyAlignment="1" applyProtection="1">
      <alignment/>
      <protection/>
    </xf>
    <xf numFmtId="0" fontId="0" fillId="0" borderId="0" xfId="0" applyBorder="1" applyAlignment="1" applyProtection="1">
      <alignment/>
      <protection/>
    </xf>
    <xf numFmtId="0" fontId="4" fillId="0" borderId="0" xfId="279" applyNumberFormat="1" applyFont="1" applyBorder="1" applyAlignment="1" applyProtection="1">
      <alignment horizontal="left"/>
      <protection/>
    </xf>
    <xf numFmtId="14" fontId="4" fillId="0" borderId="0" xfId="279" applyNumberFormat="1" applyFont="1" applyBorder="1" applyAlignment="1" applyProtection="1">
      <alignment/>
      <protection/>
    </xf>
    <xf numFmtId="172" fontId="4" fillId="0" borderId="0" xfId="279" applyFont="1" applyFill="1" applyAlignment="1" applyProtection="1">
      <alignment/>
      <protection/>
    </xf>
    <xf numFmtId="172" fontId="3" fillId="0" borderId="0" xfId="279" applyFont="1" applyFill="1" applyAlignment="1" applyProtection="1">
      <alignment/>
      <protection/>
    </xf>
    <xf numFmtId="0" fontId="3" fillId="0" borderId="0" xfId="27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9" applyNumberFormat="1" applyFont="1" applyProtection="1">
      <alignment/>
      <protection/>
    </xf>
    <xf numFmtId="0" fontId="3" fillId="0" borderId="0" xfId="27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9" applyNumberFormat="1" applyFont="1" applyAlignment="1" applyProtection="1">
      <alignment horizontal="center"/>
      <protection/>
    </xf>
    <xf numFmtId="0" fontId="3" fillId="0" borderId="0" xfId="279" applyNumberFormat="1" applyFont="1" applyAlignment="1" applyProtection="1">
      <alignment horizontal="center"/>
      <protection/>
    </xf>
    <xf numFmtId="49" fontId="3" fillId="0" borderId="0" xfId="27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9" applyNumberFormat="1" applyFont="1" applyProtection="1">
      <alignment/>
      <protection/>
    </xf>
    <xf numFmtId="39" fontId="3" fillId="0" borderId="0" xfId="100" applyNumberFormat="1" applyFont="1" applyAlignment="1" applyProtection="1">
      <alignment horizontal="center"/>
      <protection/>
    </xf>
    <xf numFmtId="0" fontId="1" fillId="0" borderId="6" xfId="279" applyNumberFormat="1" applyFont="1" applyBorder="1" applyAlignment="1" applyProtection="1">
      <alignment horizontal="center"/>
      <protection/>
    </xf>
    <xf numFmtId="0" fontId="3" fillId="0" borderId="0" xfId="279" applyNumberFormat="1" applyFont="1" applyBorder="1" applyAlignment="1" applyProtection="1">
      <alignment horizontal="center"/>
      <protection/>
    </xf>
    <xf numFmtId="0" fontId="3" fillId="0" borderId="6" xfId="27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9" applyNumberFormat="1" applyFont="1" applyFill="1" applyProtection="1">
      <alignment/>
      <protection/>
    </xf>
    <xf numFmtId="3" fontId="3" fillId="0" borderId="0" xfId="279" applyNumberFormat="1" applyFont="1" applyProtection="1">
      <alignment/>
      <protection/>
    </xf>
    <xf numFmtId="0" fontId="3" fillId="0" borderId="0" xfId="279" applyNumberFormat="1" applyFont="1" applyAlignment="1" applyProtection="1">
      <alignment horizontal="left"/>
      <protection/>
    </xf>
    <xf numFmtId="170" fontId="3" fillId="0" borderId="0" xfId="279" applyNumberFormat="1" applyFont="1" applyProtection="1">
      <alignment/>
      <protection/>
    </xf>
    <xf numFmtId="3" fontId="3" fillId="0" borderId="0" xfId="279" applyNumberFormat="1" applyFont="1" applyFill="1" applyAlignment="1" applyProtection="1">
      <alignment horizontal="left"/>
      <protection/>
    </xf>
    <xf numFmtId="3" fontId="3" fillId="0" borderId="0" xfId="279" applyNumberFormat="1" applyFont="1" applyFill="1" applyAlignment="1" applyProtection="1">
      <alignment/>
      <protection/>
    </xf>
    <xf numFmtId="0" fontId="3" fillId="0" borderId="6" xfId="27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9" applyNumberFormat="1" applyFont="1" applyFill="1" applyBorder="1" applyAlignment="1" applyProtection="1">
      <alignment/>
      <protection/>
    </xf>
    <xf numFmtId="3" fontId="3" fillId="0" borderId="0" xfId="279" applyNumberFormat="1" applyFont="1" applyFill="1" applyAlignment="1" applyProtection="1">
      <alignment horizontal="center"/>
      <protection/>
    </xf>
    <xf numFmtId="165" fontId="3" fillId="0" borderId="0" xfId="279" applyNumberFormat="1" applyFont="1" applyFill="1" applyAlignment="1" applyProtection="1">
      <alignment horizontal="right"/>
      <protection/>
    </xf>
    <xf numFmtId="42" fontId="3" fillId="0" borderId="0" xfId="279" applyNumberFormat="1" applyFont="1" applyBorder="1" applyAlignment="1" applyProtection="1">
      <alignment/>
      <protection/>
    </xf>
    <xf numFmtId="172" fontId="3" fillId="0" borderId="11" xfId="279" applyFont="1" applyBorder="1" applyAlignment="1" applyProtection="1">
      <alignment/>
      <protection/>
    </xf>
    <xf numFmtId="172" fontId="3" fillId="0" borderId="0" xfId="279" applyFont="1" applyBorder="1" applyAlignment="1" applyProtection="1">
      <alignment/>
      <protection/>
    </xf>
    <xf numFmtId="0" fontId="1" fillId="0" borderId="0" xfId="279" applyNumberFormat="1" applyFont="1" applyFill="1" applyAlignment="1" applyProtection="1">
      <alignment horizontal="center"/>
      <protection/>
    </xf>
    <xf numFmtId="0" fontId="3" fillId="0" borderId="0" xfId="27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9" applyNumberFormat="1" applyFont="1" applyAlignment="1" applyProtection="1">
      <alignment horizontal="left"/>
      <protection/>
    </xf>
    <xf numFmtId="3" fontId="3" fillId="0" borderId="0" xfId="279" applyNumberFormat="1" applyFont="1" applyAlignment="1" applyProtection="1">
      <alignment horizontal="center"/>
      <protection/>
    </xf>
    <xf numFmtId="174" fontId="3" fillId="0" borderId="14" xfId="279" applyNumberFormat="1" applyFont="1" applyBorder="1" applyAlignment="1" applyProtection="1">
      <alignment/>
      <protection/>
    </xf>
    <xf numFmtId="42" fontId="3" fillId="0" borderId="0" xfId="279" applyNumberFormat="1" applyFont="1" applyAlignment="1" applyProtection="1">
      <alignment/>
      <protection/>
    </xf>
    <xf numFmtId="172" fontId="71" fillId="0" borderId="0" xfId="279"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9" applyNumberFormat="1" applyFont="1" applyFill="1" applyAlignment="1" applyProtection="1">
      <alignment/>
      <protection/>
    </xf>
    <xf numFmtId="42" fontId="3" fillId="0" borderId="0" xfId="279" applyNumberFormat="1" applyFont="1" applyFill="1" applyAlignment="1" applyProtection="1">
      <alignment/>
      <protection/>
    </xf>
    <xf numFmtId="43" fontId="3" fillId="0" borderId="0" xfId="100" applyFont="1" applyAlignment="1" applyProtection="1">
      <alignment/>
      <protection/>
    </xf>
    <xf numFmtId="0" fontId="3" fillId="0" borderId="0" xfId="279" applyNumberFormat="1" applyFont="1" applyFill="1" applyAlignment="1" applyProtection="1">
      <alignment/>
      <protection/>
    </xf>
    <xf numFmtId="171" fontId="3" fillId="0" borderId="0" xfId="279" applyNumberFormat="1" applyFont="1" applyProtection="1">
      <alignment/>
      <protection/>
    </xf>
    <xf numFmtId="10" fontId="3" fillId="0" borderId="0" xfId="279" applyNumberFormat="1" applyFont="1" applyAlignment="1" applyProtection="1">
      <alignment/>
      <protection/>
    </xf>
    <xf numFmtId="10" fontId="3" fillId="0" borderId="0" xfId="279" applyNumberFormat="1" applyFont="1" applyProtection="1">
      <alignment/>
      <protection/>
    </xf>
    <xf numFmtId="0" fontId="0" fillId="0" borderId="0" xfId="0" applyFont="1" applyAlignment="1" applyProtection="1">
      <alignment/>
      <protection/>
    </xf>
    <xf numFmtId="10" fontId="3" fillId="0" borderId="0" xfId="290" applyNumberFormat="1" applyFont="1" applyAlignment="1" applyProtection="1">
      <alignment/>
      <protection/>
    </xf>
    <xf numFmtId="187" fontId="3" fillId="0" borderId="0" xfId="279"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9" applyNumberFormat="1" applyFont="1" applyAlignment="1" applyProtection="1">
      <alignment horizontal="center"/>
      <protection/>
    </xf>
    <xf numFmtId="41" fontId="3" fillId="0" borderId="14" xfId="279" applyNumberFormat="1" applyFont="1" applyBorder="1" applyAlignment="1" applyProtection="1">
      <alignment horizontal="center"/>
      <protection/>
    </xf>
    <xf numFmtId="41" fontId="3" fillId="0" borderId="0" xfId="279" applyNumberFormat="1" applyFont="1" applyFill="1" applyAlignment="1" applyProtection="1">
      <alignment horizontal="right"/>
      <protection/>
    </xf>
    <xf numFmtId="42" fontId="3" fillId="0" borderId="0" xfId="290" applyNumberFormat="1" applyFont="1" applyAlignment="1" applyProtection="1">
      <alignment/>
      <protection/>
    </xf>
    <xf numFmtId="43" fontId="3" fillId="0" borderId="0" xfId="279" applyNumberFormat="1" applyFont="1" applyFill="1" applyAlignment="1" applyProtection="1">
      <alignment horizontal="right"/>
      <protection/>
    </xf>
    <xf numFmtId="172" fontId="3" fillId="0" borderId="0" xfId="279" applyFont="1" applyFill="1" applyAlignment="1" applyProtection="1">
      <alignment horizontal="right"/>
      <protection/>
    </xf>
    <xf numFmtId="0" fontId="0" fillId="0" borderId="0" xfId="0" applyFont="1" applyAlignment="1" applyProtection="1">
      <alignment horizontal="center"/>
      <protection/>
    </xf>
    <xf numFmtId="49" fontId="3" fillId="0" borderId="0" xfId="279" applyNumberFormat="1" applyFont="1" applyAlignment="1" applyProtection="1">
      <alignment horizontal="left"/>
      <protection/>
    </xf>
    <xf numFmtId="0" fontId="1" fillId="0" borderId="0" xfId="279" applyNumberFormat="1" applyFont="1" applyAlignment="1" applyProtection="1">
      <alignment horizontal="center" vertical="center"/>
      <protection/>
    </xf>
    <xf numFmtId="3" fontId="4" fillId="0" borderId="0" xfId="279" applyNumberFormat="1" applyFont="1" applyAlignment="1" applyProtection="1">
      <alignment horizontal="center"/>
      <protection/>
    </xf>
    <xf numFmtId="172" fontId="4" fillId="0" borderId="0" xfId="279" applyFont="1" applyAlignment="1" applyProtection="1">
      <alignment horizontal="center"/>
      <protection/>
    </xf>
    <xf numFmtId="49" fontId="4" fillId="0" borderId="0" xfId="279" applyNumberFormat="1" applyFont="1" applyAlignment="1" applyProtection="1">
      <alignment horizontal="center"/>
      <protection/>
    </xf>
    <xf numFmtId="0" fontId="10" fillId="0" borderId="0" xfId="279" applyNumberFormat="1" applyFont="1" applyAlignment="1" applyProtection="1">
      <alignment horizontal="center"/>
      <protection/>
    </xf>
    <xf numFmtId="172" fontId="10" fillId="0" borderId="0" xfId="279" applyFont="1" applyBorder="1" applyAlignment="1" applyProtection="1">
      <alignment horizontal="center"/>
      <protection/>
    </xf>
    <xf numFmtId="3" fontId="4" fillId="0" borderId="0" xfId="279" applyNumberFormat="1" applyFont="1" applyAlignment="1" applyProtection="1">
      <alignment/>
      <protection/>
    </xf>
    <xf numFmtId="3" fontId="3" fillId="0" borderId="0" xfId="279" applyNumberFormat="1" applyFont="1" applyFill="1" applyBorder="1" applyAlignment="1" applyProtection="1">
      <alignment horizontal="center"/>
      <protection/>
    </xf>
    <xf numFmtId="0" fontId="3" fillId="0" borderId="0" xfId="279"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9" applyNumberFormat="1" applyFont="1" applyBorder="1" applyAlignment="1" applyProtection="1">
      <alignment vertical="center"/>
      <protection/>
    </xf>
    <xf numFmtId="3" fontId="3" fillId="0" borderId="0" xfId="279" applyNumberFormat="1" applyFont="1" applyFill="1" applyAlignment="1" applyProtection="1">
      <alignment vertical="center" wrapText="1"/>
      <protection/>
    </xf>
    <xf numFmtId="3" fontId="3" fillId="0" borderId="0" xfId="279" applyNumberFormat="1" applyFont="1" applyFill="1" applyAlignment="1" applyProtection="1">
      <alignment horizontal="center" vertical="center"/>
      <protection/>
    </xf>
    <xf numFmtId="3" fontId="3" fillId="0" borderId="0" xfId="279" applyNumberFormat="1" applyFont="1" applyFill="1" applyAlignment="1" applyProtection="1">
      <alignment vertical="center"/>
      <protection/>
    </xf>
    <xf numFmtId="41" fontId="3" fillId="0" borderId="0" xfId="279" applyNumberFormat="1" applyFont="1" applyFill="1" applyAlignment="1" applyProtection="1">
      <alignment vertical="center"/>
      <protection/>
    </xf>
    <xf numFmtId="0" fontId="3" fillId="0" borderId="0" xfId="279" applyNumberFormat="1" applyFont="1" applyFill="1" applyBorder="1" applyAlignment="1" applyProtection="1">
      <alignment/>
      <protection/>
    </xf>
    <xf numFmtId="41" fontId="3" fillId="0" borderId="6" xfId="279" applyNumberFormat="1" applyFont="1" applyFill="1" applyBorder="1" applyAlignment="1" applyProtection="1">
      <alignment/>
      <protection/>
    </xf>
    <xf numFmtId="0" fontId="0" fillId="0" borderId="0" xfId="0" applyFont="1" applyAlignment="1" applyProtection="1">
      <alignment/>
      <protection/>
    </xf>
    <xf numFmtId="178" fontId="4" fillId="0" borderId="0" xfId="279"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9" applyNumberFormat="1" applyFont="1" applyFill="1" applyAlignment="1" applyProtection="1">
      <alignment/>
      <protection/>
    </xf>
    <xf numFmtId="185" fontId="3" fillId="0" borderId="0" xfId="279" applyNumberFormat="1" applyFont="1" applyFill="1" applyAlignment="1" applyProtection="1">
      <alignment/>
      <protection/>
    </xf>
    <xf numFmtId="184" fontId="3" fillId="0" borderId="0" xfId="279" applyNumberFormat="1" applyFont="1" applyFill="1" applyAlignment="1" applyProtection="1">
      <alignment/>
      <protection/>
    </xf>
    <xf numFmtId="165" fontId="3" fillId="0" borderId="0" xfId="279" applyNumberFormat="1" applyFont="1" applyFill="1" applyAlignment="1" applyProtection="1">
      <alignment/>
      <protection/>
    </xf>
    <xf numFmtId="0" fontId="3" fillId="0" borderId="0" xfId="279" applyNumberFormat="1" applyFont="1" applyFill="1" applyAlignment="1" applyProtection="1">
      <alignment horizontal="center" vertical="center"/>
      <protection/>
    </xf>
    <xf numFmtId="164" fontId="3" fillId="0" borderId="0" xfId="279"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9" applyNumberFormat="1" applyFont="1" applyAlignment="1" applyProtection="1">
      <alignment/>
      <protection/>
    </xf>
    <xf numFmtId="165" fontId="3" fillId="0" borderId="0" xfId="279" applyNumberFormat="1" applyFont="1" applyAlignment="1" applyProtection="1">
      <alignment/>
      <protection/>
    </xf>
    <xf numFmtId="3" fontId="4" fillId="0" borderId="0" xfId="279"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9"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90" applyNumberFormat="1" applyFont="1" applyFill="1" applyAlignment="1" applyProtection="1">
      <alignment/>
      <protection/>
    </xf>
    <xf numFmtId="175" fontId="3" fillId="0" borderId="0" xfId="279" applyNumberFormat="1" applyFont="1" applyFill="1" applyAlignment="1" applyProtection="1">
      <alignment/>
      <protection/>
    </xf>
    <xf numFmtId="41" fontId="3" fillId="0" borderId="0" xfId="279" applyNumberFormat="1" applyFont="1" applyAlignment="1" applyProtection="1">
      <alignment horizontal="center" vertical="center"/>
      <protection/>
    </xf>
    <xf numFmtId="41" fontId="3" fillId="0" borderId="6" xfId="279" applyNumberFormat="1" applyFont="1" applyBorder="1" applyAlignment="1" applyProtection="1">
      <alignment/>
      <protection/>
    </xf>
    <xf numFmtId="164" fontId="3" fillId="0" borderId="0" xfId="279" applyNumberFormat="1" applyFont="1" applyAlignment="1" applyProtection="1">
      <alignment horizontal="center"/>
      <protection/>
    </xf>
    <xf numFmtId="0" fontId="83" fillId="0" borderId="0" xfId="279" applyNumberFormat="1" applyFont="1" applyAlignment="1" applyProtection="1">
      <alignment horizontal="center"/>
      <protection/>
    </xf>
    <xf numFmtId="3" fontId="3" fillId="0" borderId="0" xfId="279" applyNumberFormat="1" applyFont="1" applyFill="1" applyAlignment="1" applyProtection="1">
      <alignment horizontal="right"/>
      <protection/>
    </xf>
    <xf numFmtId="172" fontId="3" fillId="0" borderId="0" xfId="279" applyFont="1" applyAlignment="1" applyProtection="1">
      <alignment horizontal="center"/>
      <protection/>
    </xf>
    <xf numFmtId="172" fontId="3" fillId="0" borderId="0" xfId="279" applyFont="1" applyFill="1" applyAlignment="1" applyProtection="1">
      <alignment horizontal="center"/>
      <protection/>
    </xf>
    <xf numFmtId="0" fontId="0" fillId="0" borderId="0" xfId="0" applyAlignment="1" applyProtection="1">
      <alignment horizontal="center"/>
      <protection/>
    </xf>
    <xf numFmtId="49" fontId="3" fillId="0" borderId="0" xfId="279" applyNumberFormat="1" applyFont="1" applyFill="1" applyAlignment="1" applyProtection="1">
      <alignment horizontal="center"/>
      <protection/>
    </xf>
    <xf numFmtId="0" fontId="4" fillId="0" borderId="0" xfId="279" applyNumberFormat="1" applyFont="1" applyFill="1" applyAlignment="1" applyProtection="1">
      <alignment horizontal="center"/>
      <protection/>
    </xf>
    <xf numFmtId="172" fontId="4" fillId="0" borderId="0" xfId="279" applyFont="1" applyAlignment="1" applyProtection="1">
      <alignment/>
      <protection/>
    </xf>
    <xf numFmtId="0" fontId="4" fillId="0" borderId="0" xfId="279" applyNumberFormat="1" applyFont="1" applyAlignment="1" applyProtection="1">
      <alignment horizontal="center"/>
      <protection/>
    </xf>
    <xf numFmtId="3" fontId="10" fillId="0" borderId="0" xfId="279" applyNumberFormat="1" applyFont="1" applyAlignment="1" applyProtection="1">
      <alignment horizontal="center"/>
      <protection/>
    </xf>
    <xf numFmtId="3" fontId="4" fillId="0" borderId="0" xfId="279" applyNumberFormat="1" applyFont="1" applyFill="1" applyAlignment="1" applyProtection="1">
      <alignment/>
      <protection/>
    </xf>
    <xf numFmtId="3" fontId="10" fillId="0" borderId="0" xfId="279" applyNumberFormat="1" applyFont="1" applyFill="1" applyAlignment="1" applyProtection="1">
      <alignment/>
      <protection/>
    </xf>
    <xf numFmtId="3" fontId="10" fillId="0" borderId="0" xfId="279"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9" applyNumberFormat="1" applyFont="1" applyFill="1" applyAlignment="1" applyProtection="1">
      <alignment horizontal="right"/>
      <protection/>
    </xf>
    <xf numFmtId="41" fontId="3" fillId="0" borderId="0" xfId="279" applyNumberFormat="1" applyFont="1" applyBorder="1" applyAlignment="1" applyProtection="1">
      <alignment/>
      <protection/>
    </xf>
    <xf numFmtId="3" fontId="3" fillId="0" borderId="0" xfId="279" applyNumberFormat="1" applyFont="1" applyAlignment="1" applyProtection="1">
      <alignment vertical="center" wrapText="1"/>
      <protection/>
    </xf>
    <xf numFmtId="41" fontId="91" fillId="0" borderId="0" xfId="279" applyNumberFormat="1" applyFont="1" applyFill="1" applyAlignment="1" applyProtection="1">
      <alignment horizontal="right"/>
      <protection/>
    </xf>
    <xf numFmtId="3" fontId="3" fillId="0" borderId="0" xfId="279" applyNumberFormat="1" applyFont="1" applyAlignment="1" applyProtection="1">
      <alignment horizontal="center" vertical="center"/>
      <protection/>
    </xf>
    <xf numFmtId="3" fontId="3" fillId="0" borderId="0" xfId="279" applyNumberFormat="1" applyFont="1" applyAlignment="1" applyProtection="1">
      <alignment vertical="center"/>
      <protection/>
    </xf>
    <xf numFmtId="41" fontId="3" fillId="0" borderId="0" xfId="279" applyNumberFormat="1" applyFont="1" applyAlignment="1" applyProtection="1">
      <alignment vertical="center"/>
      <protection/>
    </xf>
    <xf numFmtId="43" fontId="3" fillId="0" borderId="0" xfId="290" applyNumberFormat="1" applyFont="1" applyFill="1" applyAlignment="1" applyProtection="1">
      <alignment/>
      <protection/>
    </xf>
    <xf numFmtId="166" fontId="3" fillId="0" borderId="0" xfId="279" applyNumberFormat="1" applyFont="1" applyAlignment="1" applyProtection="1">
      <alignment/>
      <protection/>
    </xf>
    <xf numFmtId="167" fontId="3" fillId="0" borderId="0" xfId="279" applyNumberFormat="1" applyFont="1" applyAlignment="1" applyProtection="1">
      <alignment/>
      <protection/>
    </xf>
    <xf numFmtId="172" fontId="21" fillId="0" borderId="0" xfId="279" applyFont="1" applyAlignment="1" applyProtection="1">
      <alignment/>
      <protection/>
    </xf>
    <xf numFmtId="164" fontId="3" fillId="0" borderId="0" xfId="279" applyNumberFormat="1" applyFont="1" applyBorder="1" applyAlignment="1" applyProtection="1">
      <alignment horizontal="left"/>
      <protection/>
    </xf>
    <xf numFmtId="168" fontId="3" fillId="0" borderId="0" xfId="279" applyNumberFormat="1" applyFont="1" applyAlignment="1" applyProtection="1">
      <alignment/>
      <protection/>
    </xf>
    <xf numFmtId="10" fontId="3" fillId="0" borderId="0" xfId="279" applyNumberFormat="1" applyFont="1" applyFill="1" applyAlignment="1" applyProtection="1">
      <alignment horizontal="right"/>
      <protection/>
    </xf>
    <xf numFmtId="10" fontId="0" fillId="0" borderId="0" xfId="290" applyNumberFormat="1" applyFont="1" applyAlignment="1" applyProtection="1">
      <alignment/>
      <protection/>
    </xf>
    <xf numFmtId="3" fontId="21" fillId="0" borderId="0" xfId="279" applyNumberFormat="1" applyFont="1" applyAlignment="1" applyProtection="1">
      <alignment/>
      <protection/>
    </xf>
    <xf numFmtId="167" fontId="3" fillId="0" borderId="0" xfId="279" applyNumberFormat="1" applyFont="1" applyFill="1" applyAlignment="1" applyProtection="1">
      <alignment/>
      <protection/>
    </xf>
    <xf numFmtId="166" fontId="3" fillId="0" borderId="0" xfId="279" applyNumberFormat="1" applyFont="1" applyAlignment="1" applyProtection="1">
      <alignment horizontal="center"/>
      <protection/>
    </xf>
    <xf numFmtId="190" fontId="21" fillId="0" borderId="0" xfId="279" applyNumberFormat="1" applyFont="1" applyAlignment="1" applyProtection="1">
      <alignment horizontal="center"/>
      <protection/>
    </xf>
    <xf numFmtId="191" fontId="3" fillId="0" borderId="0" xfId="279" applyNumberFormat="1" applyFont="1" applyAlignment="1" applyProtection="1">
      <alignment/>
      <protection/>
    </xf>
    <xf numFmtId="164" fontId="3" fillId="0" borderId="0" xfId="279" applyNumberFormat="1" applyFont="1" applyFill="1" applyBorder="1" applyAlignment="1" applyProtection="1">
      <alignment horizontal="left"/>
      <protection/>
    </xf>
    <xf numFmtId="179" fontId="3" fillId="0" borderId="0" xfId="27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9" applyNumberFormat="1" applyFont="1" applyAlignment="1" applyProtection="1">
      <alignment/>
      <protection/>
    </xf>
    <xf numFmtId="43" fontId="21" fillId="0" borderId="0" xfId="100" applyFont="1" applyAlignment="1" applyProtection="1">
      <alignment/>
      <protection/>
    </xf>
    <xf numFmtId="179" fontId="3" fillId="0" borderId="0" xfId="279" applyNumberFormat="1" applyFont="1" applyAlignment="1" applyProtection="1">
      <alignment horizontal="center"/>
      <protection/>
    </xf>
    <xf numFmtId="10" fontId="3" fillId="0" borderId="0" xfId="279" applyNumberFormat="1" applyFont="1" applyFill="1" applyAlignment="1" applyProtection="1">
      <alignment horizontal="left"/>
      <protection/>
    </xf>
    <xf numFmtId="190" fontId="3" fillId="0" borderId="0" xfId="279" applyNumberFormat="1" applyFont="1" applyAlignment="1" applyProtection="1">
      <alignment horizontal="center"/>
      <protection/>
    </xf>
    <xf numFmtId="168" fontId="3" fillId="0" borderId="0" xfId="279" applyNumberFormat="1" applyFont="1" applyFill="1" applyAlignment="1" applyProtection="1">
      <alignment horizontal="left"/>
      <protection/>
    </xf>
    <xf numFmtId="41" fontId="3" fillId="0" borderId="0" xfId="279" applyNumberFormat="1" applyFont="1" applyAlignment="1" applyProtection="1">
      <alignment horizontal="right"/>
      <protection/>
    </xf>
    <xf numFmtId="41" fontId="3" fillId="0" borderId="11" xfId="279" applyNumberFormat="1" applyFont="1" applyBorder="1" applyAlignment="1" applyProtection="1">
      <alignment/>
      <protection/>
    </xf>
    <xf numFmtId="179" fontId="3" fillId="0" borderId="0" xfId="279" applyNumberFormat="1" applyFont="1" applyAlignment="1" applyProtection="1">
      <alignment/>
      <protection/>
    </xf>
    <xf numFmtId="172" fontId="21" fillId="0" borderId="0" xfId="279" applyFont="1" applyFill="1" applyAlignment="1" applyProtection="1">
      <alignment/>
      <protection/>
    </xf>
    <xf numFmtId="164" fontId="3" fillId="0" borderId="0" xfId="279" applyNumberFormat="1" applyFont="1" applyFill="1" applyBorder="1" applyAlignment="1" applyProtection="1">
      <alignment horizontal="left" vertical="center"/>
      <protection/>
    </xf>
    <xf numFmtId="41" fontId="3" fillId="0" borderId="0" xfId="279" applyNumberFormat="1" applyFont="1" applyFill="1" applyAlignment="1" applyProtection="1">
      <alignment horizontal="center" vertical="center"/>
      <protection/>
    </xf>
    <xf numFmtId="180" fontId="3" fillId="0" borderId="0" xfId="27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9" applyNumberFormat="1" applyFont="1" applyFill="1" applyBorder="1" applyAlignment="1" applyProtection="1">
      <alignment horizontal="left"/>
      <protection/>
    </xf>
    <xf numFmtId="0" fontId="4" fillId="0" borderId="0" xfId="279" applyNumberFormat="1" applyFont="1" applyAlignment="1" applyProtection="1">
      <alignment/>
      <protection/>
    </xf>
    <xf numFmtId="0" fontId="3" fillId="0" borderId="0" xfId="0" applyFont="1" applyFill="1" applyAlignment="1" applyProtection="1">
      <alignment horizontal="left"/>
      <protection/>
    </xf>
    <xf numFmtId="0" fontId="3" fillId="0" borderId="0" xfId="279" applyNumberFormat="1" applyFont="1" applyFill="1" applyBorder="1" applyProtection="1">
      <alignment/>
      <protection/>
    </xf>
    <xf numFmtId="3" fontId="3" fillId="0" borderId="0" xfId="279" applyNumberFormat="1" applyFont="1" applyFill="1" applyBorder="1" applyAlignment="1" applyProtection="1">
      <alignment/>
      <protection/>
    </xf>
    <xf numFmtId="172" fontId="3" fillId="0" borderId="0" xfId="279" applyFont="1" applyFill="1" applyBorder="1" applyAlignment="1" applyProtection="1">
      <alignment/>
      <protection/>
    </xf>
    <xf numFmtId="172" fontId="3" fillId="0" borderId="0" xfId="279"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9" applyNumberFormat="1" applyFont="1" applyFill="1" applyBorder="1" applyAlignment="1" applyProtection="1">
      <alignment horizontal="left"/>
      <protection/>
    </xf>
    <xf numFmtId="0" fontId="3" fillId="0" borderId="0" xfId="279" applyNumberFormat="1" applyFont="1" applyFill="1" applyBorder="1" applyAlignment="1" applyProtection="1">
      <alignment horizontal="center"/>
      <protection/>
    </xf>
    <xf numFmtId="49" fontId="3" fillId="0" borderId="0" xfId="279" applyNumberFormat="1" applyFont="1" applyFill="1" applyBorder="1" applyProtection="1">
      <alignment/>
      <protection/>
    </xf>
    <xf numFmtId="49" fontId="3" fillId="0" borderId="0" xfId="279" applyNumberFormat="1" applyFont="1" applyFill="1" applyBorder="1" applyAlignment="1" applyProtection="1">
      <alignment/>
      <protection/>
    </xf>
    <xf numFmtId="49" fontId="3" fillId="0" borderId="0" xfId="279" applyNumberFormat="1" applyFont="1" applyFill="1" applyBorder="1" applyAlignment="1" applyProtection="1">
      <alignment horizontal="center"/>
      <protection/>
    </xf>
    <xf numFmtId="3" fontId="4" fillId="0" borderId="0" xfId="279" applyNumberFormat="1" applyFont="1" applyFill="1" applyBorder="1" applyAlignment="1" applyProtection="1">
      <alignment/>
      <protection/>
    </xf>
    <xf numFmtId="165" fontId="4" fillId="0" borderId="0" xfId="279" applyNumberFormat="1" applyFont="1" applyFill="1" applyBorder="1" applyAlignment="1" applyProtection="1">
      <alignment horizontal="right"/>
      <protection/>
    </xf>
    <xf numFmtId="0" fontId="4" fillId="0" borderId="0" xfId="279" applyNumberFormat="1" applyFont="1" applyFill="1" applyAlignment="1" applyProtection="1">
      <alignment/>
      <protection/>
    </xf>
    <xf numFmtId="3" fontId="3" fillId="0" borderId="0" xfId="279" applyNumberFormat="1" applyFont="1" applyFill="1" applyProtection="1">
      <alignment/>
      <protection/>
    </xf>
    <xf numFmtId="3" fontId="3" fillId="0" borderId="0" xfId="279" applyNumberFormat="1" applyFont="1" applyFill="1" applyAlignment="1" applyProtection="1">
      <alignment horizontal="center" wrapText="1"/>
      <protection/>
    </xf>
    <xf numFmtId="4" fontId="3" fillId="0" borderId="0" xfId="279"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9" applyNumberFormat="1" applyFont="1" applyFill="1" applyAlignment="1" applyProtection="1">
      <alignment horizontal="center"/>
      <protection/>
    </xf>
    <xf numFmtId="172" fontId="4" fillId="0" borderId="0" xfId="279" applyFont="1" applyAlignment="1" applyProtection="1">
      <alignment horizontal="right"/>
      <protection/>
    </xf>
    <xf numFmtId="165" fontId="4" fillId="0" borderId="0" xfId="279" applyNumberFormat="1" applyFont="1" applyAlignment="1" applyProtection="1">
      <alignment/>
      <protection/>
    </xf>
    <xf numFmtId="166" fontId="4" fillId="0" borderId="0" xfId="279" applyNumberFormat="1" applyFont="1" applyFill="1" applyProtection="1">
      <alignment/>
      <protection/>
    </xf>
    <xf numFmtId="3" fontId="3" fillId="0" borderId="6" xfId="279" applyNumberFormat="1" applyFont="1" applyFill="1" applyBorder="1" applyAlignment="1" applyProtection="1">
      <alignment horizontal="center"/>
      <protection/>
    </xf>
    <xf numFmtId="0" fontId="13" fillId="0" borderId="0" xfId="279" applyNumberFormat="1" applyFont="1" applyFill="1" applyBorder="1" applyAlignment="1" applyProtection="1">
      <alignment horizontal="left"/>
      <protection/>
    </xf>
    <xf numFmtId="0" fontId="3" fillId="0" borderId="0" xfId="279" applyNumberFormat="1" applyFont="1" applyFill="1" applyAlignment="1" applyProtection="1">
      <alignment horizontal="left"/>
      <protection/>
    </xf>
    <xf numFmtId="3" fontId="21" fillId="0" borderId="0" xfId="279"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9" applyNumberFormat="1" applyFont="1" applyFill="1" applyAlignment="1" applyProtection="1">
      <alignment/>
      <protection/>
    </xf>
    <xf numFmtId="169" fontId="21" fillId="0" borderId="0" xfId="279"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9" applyNumberFormat="1" applyFont="1" applyFill="1" applyBorder="1" applyAlignment="1" applyProtection="1">
      <alignment/>
      <protection/>
    </xf>
    <xf numFmtId="3" fontId="3" fillId="0" borderId="0" xfId="279" applyNumberFormat="1" applyFont="1" applyAlignment="1" applyProtection="1" quotePrefix="1">
      <alignment/>
      <protection/>
    </xf>
    <xf numFmtId="169" fontId="3" fillId="0" borderId="0" xfId="279" applyNumberFormat="1" applyFont="1" applyFill="1" applyBorder="1" applyAlignment="1" applyProtection="1">
      <alignment/>
      <protection/>
    </xf>
    <xf numFmtId="169" fontId="3" fillId="0" borderId="6" xfId="279"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9" applyNumberFormat="1" applyFont="1" applyFill="1" applyAlignment="1" applyProtection="1">
      <alignment/>
      <protection/>
    </xf>
    <xf numFmtId="3" fontId="4" fillId="0" borderId="0" xfId="279" applyNumberFormat="1" applyFont="1" applyAlignment="1" applyProtection="1" quotePrefix="1">
      <alignment/>
      <protection/>
    </xf>
    <xf numFmtId="172" fontId="3" fillId="0" borderId="0" xfId="279" applyFont="1" applyAlignment="1" applyProtection="1">
      <alignment horizontal="right"/>
      <protection/>
    </xf>
    <xf numFmtId="172" fontId="3" fillId="0" borderId="0" xfId="279" applyNumberFormat="1" applyFont="1" applyAlignment="1" applyProtection="1">
      <alignment/>
      <protection/>
    </xf>
    <xf numFmtId="172" fontId="10" fillId="0" borderId="0" xfId="279" applyFont="1" applyAlignment="1" applyProtection="1">
      <alignment horizontal="center"/>
      <protection/>
    </xf>
    <xf numFmtId="172" fontId="1" fillId="0" borderId="0" xfId="279" applyFont="1" applyFill="1" applyAlignment="1" applyProtection="1">
      <alignment horizontal="center"/>
      <protection/>
    </xf>
    <xf numFmtId="172" fontId="1" fillId="0" borderId="0" xfId="279" applyFont="1" applyFill="1" applyAlignment="1" applyProtection="1">
      <alignment/>
      <protection/>
    </xf>
    <xf numFmtId="10" fontId="3" fillId="0" borderId="0" xfId="279"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Alignment="1" applyProtection="1">
      <alignment/>
      <protection/>
    </xf>
    <xf numFmtId="0" fontId="3" fillId="0" borderId="0" xfId="279" applyNumberFormat="1" applyFont="1" applyFill="1" applyProtection="1">
      <alignment/>
      <protection/>
    </xf>
    <xf numFmtId="172" fontId="3" fillId="0" borderId="0" xfId="279" applyFont="1" applyFill="1" applyAlignment="1" applyProtection="1">
      <alignment/>
      <protection/>
    </xf>
    <xf numFmtId="0" fontId="3" fillId="0" borderId="0" xfId="0" applyFont="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protection/>
    </xf>
    <xf numFmtId="0" fontId="1" fillId="0" borderId="0" xfId="279" applyNumberFormat="1" applyFont="1" applyFill="1" applyProtection="1">
      <alignment/>
      <protection/>
    </xf>
    <xf numFmtId="0" fontId="82" fillId="0" borderId="0" xfId="279" applyNumberFormat="1" applyFont="1" applyFill="1" applyAlignment="1" applyProtection="1">
      <alignment horizontal="center"/>
      <protection/>
    </xf>
    <xf numFmtId="0" fontId="0" fillId="0" borderId="0" xfId="0" applyAlignment="1" applyProtection="1">
      <alignment wrapText="1"/>
      <protection/>
    </xf>
    <xf numFmtId="166" fontId="3" fillId="0" borderId="0" xfId="279" applyNumberFormat="1" applyFont="1" applyFill="1" applyProtection="1">
      <alignment/>
      <protection/>
    </xf>
    <xf numFmtId="1" fontId="3" fillId="0" borderId="0" xfId="279" applyNumberFormat="1" applyFont="1" applyFill="1" applyProtection="1">
      <alignment/>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49" fontId="3" fillId="0" borderId="0" xfId="269"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4" applyFont="1" applyProtection="1">
      <alignment/>
      <protection/>
    </xf>
    <xf numFmtId="0" fontId="1" fillId="0" borderId="0" xfId="284" applyFont="1" applyAlignment="1" applyProtection="1">
      <alignment horizontal="right"/>
      <protection/>
    </xf>
    <xf numFmtId="0" fontId="10" fillId="0" borderId="0" xfId="284" applyFont="1" applyAlignment="1" applyProtection="1">
      <alignment horizontal="center"/>
      <protection/>
    </xf>
    <xf numFmtId="0" fontId="3" fillId="0" borderId="0" xfId="0" applyFont="1" applyAlignment="1" applyProtection="1">
      <alignment/>
      <protection/>
    </xf>
    <xf numFmtId="0" fontId="3" fillId="0" borderId="0" xfId="284" applyFont="1" applyProtection="1">
      <alignment/>
      <protection/>
    </xf>
    <xf numFmtId="0" fontId="76" fillId="0" borderId="0" xfId="284" applyFont="1" applyProtection="1">
      <alignment/>
      <protection/>
    </xf>
    <xf numFmtId="0" fontId="3" fillId="0" borderId="0" xfId="0" applyFont="1" applyAlignment="1" applyProtection="1">
      <alignment horizontal="center"/>
      <protection/>
    </xf>
    <xf numFmtId="0" fontId="10" fillId="0" borderId="0" xfId="284"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4" applyFont="1" applyFill="1" applyProtection="1">
      <alignment/>
      <protection/>
    </xf>
    <xf numFmtId="0" fontId="3" fillId="0" borderId="0" xfId="284" applyFont="1" applyAlignment="1" applyProtection="1">
      <alignment horizontal="center"/>
      <protection/>
    </xf>
    <xf numFmtId="0" fontId="9" fillId="0" borderId="0" xfId="284" applyFont="1" applyFill="1" applyAlignment="1" applyProtection="1">
      <alignment horizontal="center"/>
      <protection/>
    </xf>
    <xf numFmtId="0" fontId="9" fillId="0" borderId="0" xfId="284" applyFont="1" applyFill="1" applyProtection="1">
      <alignment/>
      <protection/>
    </xf>
    <xf numFmtId="0" fontId="0" fillId="0" borderId="0" xfId="284" applyFont="1" applyProtection="1">
      <alignment/>
      <protection/>
    </xf>
    <xf numFmtId="173" fontId="0" fillId="0" borderId="0" xfId="284"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4" applyFont="1" applyFill="1" applyAlignment="1" applyProtection="1">
      <alignment horizontal="center"/>
      <protection/>
    </xf>
    <xf numFmtId="0" fontId="9" fillId="0" borderId="0" xfId="284" applyFont="1" applyFill="1" applyProtection="1">
      <alignment/>
      <protection/>
    </xf>
    <xf numFmtId="0" fontId="0" fillId="0" borderId="0" xfId="0" applyFont="1" applyAlignment="1" applyProtection="1">
      <alignment/>
      <protection/>
    </xf>
    <xf numFmtId="0" fontId="0" fillId="0" borderId="0" xfId="284" applyFont="1" applyProtection="1">
      <alignment/>
      <protection/>
    </xf>
    <xf numFmtId="172" fontId="0" fillId="0" borderId="0" xfId="284" applyNumberFormat="1" applyFont="1" applyFill="1" applyAlignment="1" applyProtection="1">
      <alignment horizontal="center"/>
      <protection/>
    </xf>
    <xf numFmtId="0" fontId="0" fillId="0" borderId="0" xfId="284" applyFont="1" applyFill="1" applyProtection="1">
      <alignment/>
      <protection/>
    </xf>
    <xf numFmtId="0" fontId="9" fillId="0" borderId="0" xfId="284" applyFont="1" applyProtection="1">
      <alignment/>
      <protection/>
    </xf>
    <xf numFmtId="0" fontId="9" fillId="0" borderId="0" xfId="284" applyFont="1" applyProtection="1">
      <alignment/>
      <protection/>
    </xf>
    <xf numFmtId="43" fontId="0" fillId="0" borderId="0" xfId="127" applyFont="1" applyFill="1" applyAlignment="1" applyProtection="1">
      <alignment/>
      <protection/>
    </xf>
    <xf numFmtId="43" fontId="0" fillId="0" borderId="0" xfId="127"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4" applyNumberFormat="1" applyFont="1" applyProtection="1">
      <alignment/>
      <protection/>
    </xf>
    <xf numFmtId="173" fontId="0" fillId="0" borderId="0" xfId="284" applyNumberFormat="1" applyFont="1" applyBorder="1" applyProtection="1">
      <alignment/>
      <protection/>
    </xf>
    <xf numFmtId="173" fontId="0" fillId="0" borderId="13" xfId="284" applyNumberFormat="1" applyFont="1" applyBorder="1" applyProtection="1">
      <alignment/>
      <protection/>
    </xf>
    <xf numFmtId="0" fontId="3" fillId="0" borderId="0" xfId="284" applyFont="1" applyFill="1" applyProtection="1">
      <alignment/>
      <protection/>
    </xf>
    <xf numFmtId="173" fontId="3" fillId="0" borderId="0" xfId="284"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9" applyNumberFormat="1" applyFont="1" applyFill="1" applyBorder="1" applyAlignment="1" applyProtection="1">
      <alignment/>
      <protection/>
    </xf>
    <xf numFmtId="3" fontId="0" fillId="0" borderId="0" xfId="279" applyNumberFormat="1" applyFont="1" applyAlignment="1" applyProtection="1">
      <alignment/>
      <protection/>
    </xf>
    <xf numFmtId="10" fontId="0" fillId="0" borderId="0" xfId="290" applyNumberFormat="1" applyAlignment="1" applyProtection="1">
      <alignment horizontal="right"/>
      <protection/>
    </xf>
    <xf numFmtId="172" fontId="0" fillId="0" borderId="0" xfId="279" applyFont="1" applyAlignment="1" applyProtection="1">
      <alignment/>
      <protection/>
    </xf>
    <xf numFmtId="172" fontId="0" fillId="0" borderId="0" xfId="279" applyFont="1" applyBorder="1" applyAlignment="1" applyProtection="1">
      <alignment/>
      <protection/>
    </xf>
    <xf numFmtId="3" fontId="0" fillId="0" borderId="0" xfId="279" applyNumberFormat="1" applyFont="1" applyFill="1" applyAlignment="1" applyProtection="1">
      <alignment/>
      <protection/>
    </xf>
    <xf numFmtId="10" fontId="0" fillId="0" borderId="0" xfId="290" applyNumberFormat="1" applyFont="1" applyFill="1" applyAlignment="1" applyProtection="1">
      <alignment horizontal="right"/>
      <protection/>
    </xf>
    <xf numFmtId="3" fontId="9" fillId="0" borderId="0" xfId="279" applyNumberFormat="1" applyFont="1" applyAlignment="1" applyProtection="1">
      <alignment/>
      <protection/>
    </xf>
    <xf numFmtId="10" fontId="0" fillId="0" borderId="0" xfId="279" applyNumberFormat="1" applyFont="1" applyFill="1" applyAlignment="1" applyProtection="1">
      <alignment horizontal="right"/>
      <protection/>
    </xf>
    <xf numFmtId="3" fontId="12" fillId="0" borderId="0" xfId="279" applyNumberFormat="1" applyFont="1" applyAlignment="1" applyProtection="1">
      <alignment horizontal="center"/>
      <protection/>
    </xf>
    <xf numFmtId="10" fontId="12" fillId="0" borderId="0" xfId="279" applyNumberFormat="1" applyFont="1" applyFill="1" applyAlignment="1" applyProtection="1">
      <alignment horizontal="center"/>
      <protection/>
    </xf>
    <xf numFmtId="0" fontId="0" fillId="0" borderId="0" xfId="27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0" applyNumberFormat="1" applyFont="1" applyAlignment="1" applyProtection="1">
      <alignment/>
      <protection/>
    </xf>
    <xf numFmtId="166" fontId="0" fillId="0" borderId="0" xfId="279" applyNumberFormat="1" applyFont="1" applyAlignment="1" applyProtection="1">
      <alignment horizontal="center"/>
      <protection/>
    </xf>
    <xf numFmtId="166" fontId="0" fillId="0" borderId="0" xfId="279" applyNumberFormat="1" applyFont="1" applyBorder="1" applyAlignment="1" applyProtection="1">
      <alignment horizontal="center"/>
      <protection/>
    </xf>
    <xf numFmtId="41" fontId="0" fillId="0" borderId="0" xfId="279" applyNumberFormat="1" applyFont="1" applyAlignment="1" applyProtection="1">
      <alignment/>
      <protection/>
    </xf>
    <xf numFmtId="41" fontId="0" fillId="0" borderId="0" xfId="279" applyNumberFormat="1" applyFont="1" applyAlignment="1" applyProtection="1">
      <alignment horizontal="center"/>
      <protection/>
    </xf>
    <xf numFmtId="41" fontId="0" fillId="0" borderId="0" xfId="279" applyNumberFormat="1" applyFont="1" applyBorder="1" applyAlignment="1" applyProtection="1">
      <alignment horizontal="center"/>
      <protection/>
    </xf>
    <xf numFmtId="0" fontId="0" fillId="0" borderId="0" xfId="279" applyNumberFormat="1" applyFont="1" applyBorder="1" applyAlignment="1" applyProtection="1">
      <alignment horizontal="right"/>
      <protection/>
    </xf>
    <xf numFmtId="164" fontId="12" fillId="0" borderId="0" xfId="290" applyNumberFormat="1" applyFont="1" applyAlignment="1" applyProtection="1">
      <alignment/>
      <protection/>
    </xf>
    <xf numFmtId="0" fontId="0" fillId="0" borderId="0" xfId="279" applyNumberFormat="1" applyFont="1" applyBorder="1" applyAlignment="1" applyProtection="1">
      <alignment/>
      <protection/>
    </xf>
    <xf numFmtId="3" fontId="0" fillId="0" borderId="0" xfId="279" applyNumberFormat="1" applyFont="1" applyAlignment="1" applyProtection="1">
      <alignment horizontal="right"/>
      <protection/>
    </xf>
    <xf numFmtId="172" fontId="0" fillId="0" borderId="16" xfId="279" applyFont="1" applyBorder="1" applyAlignment="1" applyProtection="1">
      <alignment/>
      <protection/>
    </xf>
    <xf numFmtId="0" fontId="0" fillId="0" borderId="0" xfId="279" applyNumberFormat="1" applyFont="1" applyBorder="1" applyAlignment="1" applyProtection="1">
      <alignment horizontal="center"/>
      <protection/>
    </xf>
    <xf numFmtId="172" fontId="0" fillId="0" borderId="0" xfId="279" applyFont="1" applyBorder="1" applyAlignment="1" applyProtection="1">
      <alignment/>
      <protection/>
    </xf>
    <xf numFmtId="3" fontId="0" fillId="0" borderId="17" xfId="279" applyNumberFormat="1" applyFont="1" applyBorder="1" applyAlignment="1" applyProtection="1">
      <alignment/>
      <protection/>
    </xf>
    <xf numFmtId="10" fontId="0" fillId="0" borderId="0" xfId="279" applyNumberFormat="1" applyFont="1" applyFill="1" applyAlignment="1" applyProtection="1">
      <alignment horizontal="left"/>
      <protection/>
    </xf>
    <xf numFmtId="41" fontId="0" fillId="0" borderId="0" xfId="279" applyNumberFormat="1" applyFont="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17" xfId="0" applyFont="1" applyBorder="1" applyAlignment="1" applyProtection="1">
      <alignment/>
      <protection/>
    </xf>
    <xf numFmtId="41" fontId="0" fillId="0" borderId="0" xfId="279" applyNumberFormat="1" applyFont="1" applyFill="1" applyAlignment="1" applyProtection="1">
      <alignment/>
      <protection/>
    </xf>
    <xf numFmtId="166" fontId="0" fillId="0" borderId="18"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4" fontId="0" fillId="0" borderId="19" xfId="0" applyNumberFormat="1" applyFont="1" applyBorder="1" applyAlignment="1" applyProtection="1">
      <alignment/>
      <protection/>
    </xf>
    <xf numFmtId="41" fontId="0" fillId="0" borderId="0" xfId="279" applyNumberFormat="1" applyFont="1" applyBorder="1" applyAlignment="1" applyProtection="1">
      <alignment/>
      <protection/>
    </xf>
    <xf numFmtId="0" fontId="0" fillId="26" borderId="0" xfId="279" applyNumberFormat="1" applyFont="1" applyFill="1" applyBorder="1" applyAlignment="1" applyProtection="1">
      <alignment/>
      <protection/>
    </xf>
    <xf numFmtId="41" fontId="0" fillId="0" borderId="0" xfId="279" applyNumberFormat="1" applyFont="1" applyFill="1" applyAlignment="1" applyProtection="1">
      <alignment horizontal="left"/>
      <protection/>
    </xf>
    <xf numFmtId="41" fontId="0" fillId="0" borderId="0" xfId="279" applyNumberFormat="1" applyFont="1" applyFill="1" applyBorder="1" applyAlignment="1" applyProtection="1">
      <alignment horizontal="right"/>
      <protection/>
    </xf>
    <xf numFmtId="167" fontId="0" fillId="0" borderId="0" xfId="279" applyNumberFormat="1" applyFont="1" applyAlignment="1" applyProtection="1">
      <alignment/>
      <protection/>
    </xf>
    <xf numFmtId="164" fontId="0" fillId="0" borderId="0" xfId="279" applyNumberFormat="1" applyFont="1" applyFill="1" applyBorder="1" applyAlignment="1" applyProtection="1">
      <alignment horizontal="left"/>
      <protection/>
    </xf>
    <xf numFmtId="164" fontId="0" fillId="0" borderId="0" xfId="279" applyNumberFormat="1" applyFont="1" applyBorder="1" applyAlignment="1" applyProtection="1">
      <alignment horizontal="left"/>
      <protection/>
    </xf>
    <xf numFmtId="3" fontId="0" fillId="0" borderId="0" xfId="279" applyNumberFormat="1" applyFont="1" applyAlignment="1" applyProtection="1">
      <alignment vertical="center" wrapText="1"/>
      <protection/>
    </xf>
    <xf numFmtId="41" fontId="0" fillId="0" borderId="0" xfId="279" applyNumberFormat="1" applyFont="1" applyBorder="1" applyAlignment="1" applyProtection="1">
      <alignment vertical="center"/>
      <protection/>
    </xf>
    <xf numFmtId="41" fontId="0" fillId="0" borderId="0" xfId="279" applyNumberFormat="1" applyFont="1" applyBorder="1" applyAlignment="1" applyProtection="1">
      <alignment horizontal="center" vertical="center"/>
      <protection/>
    </xf>
    <xf numFmtId="41" fontId="0" fillId="0" borderId="0" xfId="27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9" applyNumberFormat="1" applyFont="1" applyFill="1" applyBorder="1" applyAlignment="1" applyProtection="1">
      <alignment/>
      <protection/>
    </xf>
    <xf numFmtId="41" fontId="0" fillId="0" borderId="11" xfId="279" applyNumberFormat="1" applyFont="1" applyFill="1" applyBorder="1" applyAlignment="1" applyProtection="1">
      <alignment/>
      <protection/>
    </xf>
    <xf numFmtId="3" fontId="0" fillId="0" borderId="0" xfId="279" applyNumberFormat="1" applyFont="1" applyFill="1" applyBorder="1" applyAlignment="1" applyProtection="1">
      <alignment/>
      <protection/>
    </xf>
    <xf numFmtId="41" fontId="0" fillId="0" borderId="0" xfId="279" applyNumberFormat="1" applyFont="1" applyFill="1" applyBorder="1" applyAlignment="1" applyProtection="1">
      <alignment horizontal="center"/>
      <protection/>
    </xf>
    <xf numFmtId="0" fontId="0" fillId="0" borderId="0" xfId="279" applyNumberFormat="1" applyFont="1" applyFill="1" applyBorder="1" applyProtection="1">
      <alignment/>
      <protection/>
    </xf>
    <xf numFmtId="41" fontId="12" fillId="0" borderId="0" xfId="279" applyNumberFormat="1" applyFont="1" applyFill="1" applyBorder="1" applyAlignment="1" applyProtection="1">
      <alignment/>
      <protection/>
    </xf>
    <xf numFmtId="3" fontId="0" fillId="0" borderId="0" xfId="279"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9" applyNumberFormat="1" applyFont="1" applyFill="1" applyBorder="1" applyAlignment="1" applyProtection="1">
      <alignment horizontal="center"/>
      <protection/>
    </xf>
    <xf numFmtId="10" fontId="0" fillId="0" borderId="0" xfId="279" applyNumberFormat="1" applyFont="1" applyFill="1" applyBorder="1" applyAlignment="1" applyProtection="1">
      <alignment/>
      <protection/>
    </xf>
    <xf numFmtId="169" fontId="0" fillId="0" borderId="0" xfId="279" applyNumberFormat="1" applyFont="1" applyFill="1" applyBorder="1" applyAlignment="1" applyProtection="1">
      <alignment/>
      <protection/>
    </xf>
    <xf numFmtId="172" fontId="0" fillId="0" borderId="0" xfId="279" applyFont="1" applyFill="1" applyBorder="1" applyAlignment="1" applyProtection="1">
      <alignment/>
      <protection/>
    </xf>
    <xf numFmtId="169" fontId="9" fillId="0" borderId="0" xfId="279"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0"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1"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6"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2" xfId="100" applyNumberFormat="1" applyFont="1" applyBorder="1" applyAlignment="1" applyProtection="1">
      <alignment/>
      <protection/>
    </xf>
    <xf numFmtId="0" fontId="9" fillId="0" borderId="0" xfId="0" applyFont="1" applyFill="1" applyAlignment="1" applyProtection="1">
      <alignment/>
      <protection/>
    </xf>
    <xf numFmtId="173" fontId="9" fillId="0" borderId="18"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19"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3" xfId="0" applyFont="1" applyFill="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1"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7"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7"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8"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1"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173" fontId="9" fillId="21" borderId="26"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19"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173" fontId="9" fillId="21" borderId="28" xfId="100" applyNumberFormat="1"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7"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7"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4" fontId="0" fillId="21" borderId="27" xfId="0" applyNumberFormat="1" applyFont="1" applyFill="1" applyBorder="1" applyAlignment="1" applyProtection="1">
      <alignment wrapText="1"/>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0" fontId="0" fillId="0" borderId="0" xfId="290" applyNumberFormat="1" applyFont="1" applyAlignment="1" applyProtection="1">
      <alignment horizontal="right"/>
      <protection/>
    </xf>
    <xf numFmtId="172" fontId="0" fillId="0" borderId="20" xfId="279" applyFont="1" applyBorder="1" applyAlignment="1" applyProtection="1">
      <alignment/>
      <protection/>
    </xf>
    <xf numFmtId="172" fontId="0" fillId="0" borderId="15" xfId="279" applyFont="1" applyBorder="1" applyAlignment="1" applyProtection="1">
      <alignment/>
      <protection/>
    </xf>
    <xf numFmtId="3" fontId="0" fillId="0" borderId="21" xfId="279" applyNumberFormat="1" applyFont="1" applyBorder="1" applyAlignment="1" applyProtection="1">
      <alignment/>
      <protection/>
    </xf>
    <xf numFmtId="172" fontId="0" fillId="0" borderId="16" xfId="279" applyFont="1" applyBorder="1" applyAlignment="1" applyProtection="1">
      <alignment/>
      <protection/>
    </xf>
    <xf numFmtId="3" fontId="0" fillId="0" borderId="17" xfId="279" applyNumberFormat="1" applyFont="1" applyBorder="1" applyAlignment="1" applyProtection="1">
      <alignment/>
      <protection/>
    </xf>
    <xf numFmtId="0" fontId="0" fillId="0" borderId="0" xfId="279" applyNumberFormat="1" applyFont="1" applyBorder="1" applyAlignment="1" applyProtection="1" quotePrefix="1">
      <alignment horizontal="center"/>
      <protection/>
    </xf>
    <xf numFmtId="0" fontId="0" fillId="0" borderId="17"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6" xfId="0" applyFont="1" applyBorder="1" applyAlignment="1" applyProtection="1">
      <alignment/>
      <protection/>
    </xf>
    <xf numFmtId="0" fontId="0" fillId="0" borderId="0" xfId="0" applyFont="1" applyBorder="1" applyAlignment="1" applyProtection="1">
      <alignment horizontal="right"/>
      <protection/>
    </xf>
    <xf numFmtId="174" fontId="0" fillId="0" borderId="17" xfId="0" applyNumberFormat="1" applyFont="1" applyBorder="1" applyAlignment="1" applyProtection="1">
      <alignment/>
      <protection/>
    </xf>
    <xf numFmtId="174" fontId="0" fillId="0" borderId="19" xfId="0" applyNumberFormat="1" applyFont="1" applyBorder="1" applyAlignment="1" applyProtection="1">
      <alignment/>
      <protection/>
    </xf>
    <xf numFmtId="173" fontId="0" fillId="0" borderId="21" xfId="0" applyNumberFormat="1" applyFont="1" applyBorder="1" applyAlignment="1" applyProtection="1">
      <alignment/>
      <protection/>
    </xf>
    <xf numFmtId="166" fontId="0" fillId="0" borderId="18" xfId="279" applyNumberFormat="1" applyFont="1" applyBorder="1" applyAlignment="1" applyProtection="1">
      <alignment horizontal="center"/>
      <protection/>
    </xf>
    <xf numFmtId="0" fontId="0" fillId="0" borderId="6" xfId="279" applyNumberFormat="1" applyFont="1" applyBorder="1" applyAlignment="1" applyProtection="1">
      <alignment horizontal="center"/>
      <protection/>
    </xf>
    <xf numFmtId="173" fontId="0" fillId="0" borderId="6" xfId="279" applyNumberFormat="1" applyFont="1" applyBorder="1" applyAlignment="1" applyProtection="1" quotePrefix="1">
      <alignment horizontal="center"/>
      <protection/>
    </xf>
    <xf numFmtId="41" fontId="0" fillId="0" borderId="0" xfId="279" applyNumberFormat="1" applyFont="1" applyFill="1" applyBorder="1" applyAlignment="1" applyProtection="1">
      <alignment horizontal="right"/>
      <protection/>
    </xf>
    <xf numFmtId="10" fontId="0" fillId="0" borderId="0" xfId="290" applyNumberFormat="1" applyFont="1" applyFill="1" applyBorder="1" applyAlignment="1" applyProtection="1">
      <alignment/>
      <protection/>
    </xf>
    <xf numFmtId="0" fontId="115" fillId="28" borderId="0" xfId="0" applyFont="1" applyFill="1" applyBorder="1" applyAlignment="1" applyProtection="1">
      <alignment/>
      <protection/>
    </xf>
    <xf numFmtId="0" fontId="9" fillId="0" borderId="20" xfId="0" applyFont="1" applyFill="1" applyBorder="1" applyAlignment="1" applyProtection="1">
      <alignment horizontal="center"/>
      <protection/>
    </xf>
    <xf numFmtId="173" fontId="0" fillId="0" borderId="16"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7"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2"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19"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79"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9" applyNumberFormat="1" applyFont="1" applyFill="1" applyBorder="1" applyAlignment="1" applyProtection="1">
      <alignment vertical="top"/>
      <protection/>
    </xf>
    <xf numFmtId="0" fontId="20" fillId="0" borderId="0" xfId="0" applyFont="1" applyAlignme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91"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2"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2" applyNumberFormat="1" applyFont="1" applyFill="1" applyAlignment="1" applyProtection="1">
      <alignment/>
      <protection/>
    </xf>
    <xf numFmtId="173" fontId="111" fillId="0" borderId="0" xfId="199" applyNumberFormat="1" applyFont="1" applyBorder="1" applyProtection="1">
      <alignment/>
      <protection/>
    </xf>
    <xf numFmtId="43" fontId="0" fillId="0" borderId="0" xfId="199" applyNumberFormat="1" applyFont="1" applyProtection="1">
      <alignment/>
      <protection/>
    </xf>
    <xf numFmtId="43" fontId="0" fillId="0" borderId="0" xfId="199" applyNumberFormat="1" applyFont="1" applyFill="1" applyBorder="1" applyProtection="1">
      <alignment/>
      <protection/>
    </xf>
    <xf numFmtId="43" fontId="3" fillId="0" borderId="0" xfId="199" applyNumberFormat="1" applyFont="1" applyFill="1" applyBorder="1" applyProtection="1">
      <alignment/>
      <protection/>
    </xf>
    <xf numFmtId="0" fontId="18" fillId="29" borderId="0" xfId="100" applyNumberFormat="1" applyFont="1" applyFill="1" applyAlignment="1" applyProtection="1">
      <alignment/>
      <protection locked="0"/>
    </xf>
    <xf numFmtId="41" fontId="18" fillId="29" borderId="0" xfId="279" applyNumberFormat="1" applyFont="1" applyFill="1" applyAlignment="1" applyProtection="1">
      <alignment/>
      <protection locked="0"/>
    </xf>
    <xf numFmtId="41" fontId="18" fillId="29" borderId="6" xfId="279" applyNumberFormat="1" applyFont="1" applyFill="1" applyBorder="1" applyAlignment="1" applyProtection="1">
      <alignment/>
      <protection locked="0"/>
    </xf>
    <xf numFmtId="10" fontId="18" fillId="29" borderId="0" xfId="290"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27"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69" applyNumberFormat="1" applyFont="1" applyFill="1" applyProtection="1">
      <alignment/>
      <protection locked="0"/>
    </xf>
    <xf numFmtId="41" fontId="8" fillId="29" borderId="11" xfId="269" applyNumberFormat="1" applyFont="1" applyFill="1" applyBorder="1" applyProtection="1">
      <alignment/>
      <protection locked="0"/>
    </xf>
    <xf numFmtId="38" fontId="58" fillId="0" borderId="15" xfId="0" applyNumberFormat="1" applyFont="1" applyFill="1" applyBorder="1" applyAlignment="1">
      <alignment/>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27" applyNumberFormat="1" applyFont="1" applyFill="1" applyAlignment="1" applyProtection="1">
      <alignment/>
      <protection locked="0"/>
    </xf>
    <xf numFmtId="0" fontId="18" fillId="29" borderId="0" xfId="269" applyFont="1" applyFill="1" applyAlignment="1" applyProtection="1">
      <alignment horizontal="center"/>
      <protection locked="0"/>
    </xf>
    <xf numFmtId="41" fontId="18" fillId="29" borderId="0" xfId="269" applyNumberFormat="1" applyFont="1" applyFill="1" applyBorder="1" applyProtection="1">
      <alignment/>
      <protection locked="0"/>
    </xf>
    <xf numFmtId="41" fontId="72" fillId="29" borderId="11" xfId="280" applyNumberFormat="1" applyFont="1" applyFill="1" applyBorder="1" applyProtection="1">
      <alignment/>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79"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4" fillId="29" borderId="17" xfId="100" applyNumberFormat="1" applyFont="1" applyFill="1" applyBorder="1" applyAlignment="1" applyProtection="1">
      <alignment horizontal="right"/>
      <protection locked="0"/>
    </xf>
    <xf numFmtId="0" fontId="144" fillId="29" borderId="17" xfId="0" applyFont="1" applyFill="1" applyBorder="1" applyAlignment="1" applyProtection="1">
      <alignment horizontal="right"/>
      <protection locked="0"/>
    </xf>
    <xf numFmtId="173" fontId="8" fillId="29" borderId="17" xfId="100" applyNumberFormat="1" applyFont="1" applyFill="1" applyBorder="1" applyAlignment="1" applyProtection="1">
      <alignment horizontal="right"/>
      <protection locked="0"/>
    </xf>
    <xf numFmtId="0" fontId="8" fillId="29" borderId="19" xfId="0" applyFont="1" applyFill="1" applyBorder="1" applyAlignment="1" applyProtection="1">
      <alignment horizontal="right"/>
      <protection locked="0"/>
    </xf>
    <xf numFmtId="173" fontId="8" fillId="29" borderId="17"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16" fillId="0" borderId="0" xfId="269"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91" applyNumberFormat="1" applyFont="1" applyFill="1" applyAlignment="1" applyProtection="1">
      <alignment/>
      <protection locked="0"/>
    </xf>
    <xf numFmtId="214" fontId="145" fillId="26" borderId="0" xfId="0" applyNumberFormat="1" applyFont="1" applyFill="1" applyAlignment="1">
      <alignment horizontal="right"/>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41" fontId="8" fillId="29" borderId="0" xfId="270" applyNumberFormat="1" applyFont="1" applyFill="1">
      <alignment/>
      <protection/>
    </xf>
    <xf numFmtId="41" fontId="8" fillId="29" borderId="11" xfId="270" applyNumberFormat="1" applyFont="1" applyFill="1" applyBorder="1">
      <alignment/>
      <protection/>
    </xf>
    <xf numFmtId="173" fontId="0" fillId="0" borderId="27" xfId="110" applyNumberFormat="1" applyFont="1" applyFill="1" applyBorder="1" applyAlignment="1" applyProtection="1">
      <alignment/>
      <protection/>
    </xf>
    <xf numFmtId="173" fontId="0" fillId="0" borderId="17" xfId="110" applyNumberFormat="1" applyFont="1" applyFill="1" applyBorder="1" applyAlignment="1" applyProtection="1">
      <alignment/>
      <protection/>
    </xf>
    <xf numFmtId="173" fontId="8" fillId="0" borderId="0" xfId="127" applyNumberFormat="1" applyFont="1" applyFill="1" applyAlignment="1" applyProtection="1">
      <alignment/>
      <protection locked="0"/>
    </xf>
    <xf numFmtId="0" fontId="117" fillId="0" borderId="0" xfId="0" applyFont="1" applyAlignment="1">
      <alignment vertical="center"/>
    </xf>
    <xf numFmtId="0" fontId="75" fillId="0" borderId="0" xfId="227" applyNumberFormat="1" applyFont="1" applyFill="1" applyBorder="1" applyAlignment="1">
      <alignment horizontal="center"/>
      <protection/>
    </xf>
    <xf numFmtId="173" fontId="72" fillId="0" borderId="0" xfId="280" applyNumberFormat="1" applyFont="1" applyFill="1" applyBorder="1" applyProtection="1">
      <alignment/>
      <protection locked="0"/>
    </xf>
    <xf numFmtId="0" fontId="66" fillId="0" borderId="0" xfId="280" applyFont="1" applyFill="1" applyAlignment="1" applyProtection="1">
      <alignment horizontal="center"/>
      <protection locked="0"/>
    </xf>
    <xf numFmtId="0" fontId="118" fillId="0" borderId="0" xfId="0" applyNumberFormat="1" applyFont="1" applyAlignment="1">
      <alignment horizontal="center"/>
    </xf>
    <xf numFmtId="172" fontId="0" fillId="0" borderId="0" xfId="276" applyFont="1" applyAlignment="1">
      <alignment/>
    </xf>
    <xf numFmtId="173" fontId="0" fillId="0" borderId="0" xfId="0" applyNumberFormat="1" applyFont="1" applyAlignment="1">
      <alignment/>
    </xf>
    <xf numFmtId="0" fontId="0" fillId="0" borderId="0" xfId="283" applyFont="1">
      <alignment/>
      <protection/>
    </xf>
    <xf numFmtId="0" fontId="0" fillId="0" borderId="0" xfId="0" applyNumberFormat="1" applyFont="1" applyAlignment="1">
      <alignment horizontal="center"/>
    </xf>
    <xf numFmtId="173" fontId="0" fillId="0" borderId="29" xfId="103" applyNumberFormat="1" applyFont="1" applyBorder="1" applyAlignment="1">
      <alignment/>
    </xf>
    <xf numFmtId="173" fontId="0" fillId="0" borderId="14" xfId="103" applyNumberFormat="1" applyFont="1" applyBorder="1" applyAlignment="1">
      <alignment/>
    </xf>
    <xf numFmtId="173" fontId="0" fillId="0" borderId="30" xfId="103" applyNumberFormat="1" applyFont="1" applyBorder="1" applyAlignment="1">
      <alignment/>
    </xf>
    <xf numFmtId="0" fontId="0" fillId="0" borderId="14" xfId="0" applyNumberFormat="1" applyFont="1" applyBorder="1" applyAlignment="1">
      <alignment horizontal="center"/>
    </xf>
    <xf numFmtId="173" fontId="8" fillId="29" borderId="31" xfId="104" applyNumberFormat="1" applyFont="1" applyFill="1" applyBorder="1" applyAlignment="1">
      <alignment horizontal="right"/>
    </xf>
    <xf numFmtId="173" fontId="8" fillId="29" borderId="0" xfId="104" applyNumberFormat="1" applyFont="1" applyFill="1" applyBorder="1" applyAlignment="1">
      <alignment horizontal="right"/>
    </xf>
    <xf numFmtId="173" fontId="8" fillId="29" borderId="32" xfId="104" applyNumberFormat="1" applyFont="1" applyFill="1" applyBorder="1" applyAlignment="1">
      <alignment horizontal="right"/>
    </xf>
    <xf numFmtId="0" fontId="0" fillId="0" borderId="11" xfId="283" applyFont="1" applyBorder="1">
      <alignment/>
      <protection/>
    </xf>
    <xf numFmtId="0" fontId="0" fillId="0" borderId="33" xfId="0" applyNumberFormat="1" applyFont="1" applyBorder="1" applyAlignment="1">
      <alignment horizontal="center"/>
    </xf>
    <xf numFmtId="0" fontId="0" fillId="0" borderId="0" xfId="283" applyFont="1" applyBorder="1">
      <alignment/>
      <protection/>
    </xf>
    <xf numFmtId="0" fontId="0" fillId="0" borderId="32" xfId="0" applyNumberFormat="1" applyFont="1" applyBorder="1" applyAlignment="1">
      <alignment horizontal="center"/>
    </xf>
    <xf numFmtId="0" fontId="0" fillId="0" borderId="0" xfId="283" applyFont="1" applyBorder="1" applyAlignment="1" quotePrefix="1">
      <alignment horizontal="left"/>
      <protection/>
    </xf>
    <xf numFmtId="173" fontId="8" fillId="29" borderId="34" xfId="104" applyNumberFormat="1" applyFont="1" applyFill="1" applyBorder="1" applyAlignment="1">
      <alignment horizontal="right"/>
    </xf>
    <xf numFmtId="0" fontId="118" fillId="0" borderId="0" xfId="0" applyFont="1" applyAlignment="1">
      <alignment/>
    </xf>
    <xf numFmtId="3" fontId="0" fillId="0" borderId="35" xfId="227" applyNumberFormat="1" applyFont="1" applyFill="1" applyBorder="1" applyAlignment="1">
      <alignment horizontal="center" wrapText="1"/>
      <protection/>
    </xf>
    <xf numFmtId="3" fontId="0" fillId="0" borderId="11" xfId="227" applyNumberFormat="1" applyFont="1" applyFill="1" applyBorder="1" applyAlignment="1">
      <alignment horizontal="center" wrapText="1"/>
      <protection/>
    </xf>
    <xf numFmtId="3" fontId="0" fillId="0" borderId="33" xfId="227" applyNumberFormat="1" applyFont="1" applyFill="1" applyBorder="1" applyAlignment="1">
      <alignment horizontal="center" wrapText="1"/>
      <protection/>
    </xf>
    <xf numFmtId="0" fontId="9" fillId="0" borderId="0" xfId="283" applyFont="1" applyBorder="1" applyAlignment="1">
      <alignment horizontal="center"/>
      <protection/>
    </xf>
    <xf numFmtId="0" fontId="9" fillId="0" borderId="31" xfId="283" applyFont="1" applyBorder="1" applyAlignment="1">
      <alignment horizontal="center"/>
      <protection/>
    </xf>
    <xf numFmtId="0" fontId="9" fillId="0" borderId="32" xfId="283" applyFont="1" applyBorder="1" applyAlignment="1">
      <alignment horizontal="center"/>
      <protection/>
    </xf>
    <xf numFmtId="0" fontId="9" fillId="0" borderId="31" xfId="283" applyFont="1" applyBorder="1" applyAlignment="1">
      <alignment horizontal="center" wrapText="1"/>
      <protection/>
    </xf>
    <xf numFmtId="0" fontId="9" fillId="0" borderId="0" xfId="283" applyFont="1" applyBorder="1" applyAlignment="1">
      <alignment horizontal="center" wrapText="1"/>
      <protection/>
    </xf>
    <xf numFmtId="0" fontId="9" fillId="0" borderId="32" xfId="283" applyFont="1" applyBorder="1" applyAlignment="1">
      <alignment horizontal="center" wrapText="1"/>
      <protection/>
    </xf>
    <xf numFmtId="0" fontId="0" fillId="0" borderId="32"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4" xfId="0" applyFont="1" applyBorder="1" applyAlignment="1">
      <alignment/>
    </xf>
    <xf numFmtId="0" fontId="9" fillId="0" borderId="2" xfId="283" applyFont="1" applyBorder="1" applyAlignment="1">
      <alignment horizontal="centerContinuous" wrapText="1"/>
      <protection/>
    </xf>
    <xf numFmtId="0" fontId="0" fillId="0" borderId="34" xfId="0" applyNumberFormat="1" applyFont="1" applyBorder="1" applyAlignment="1">
      <alignment horizontal="center"/>
    </xf>
    <xf numFmtId="37" fontId="0" fillId="0" borderId="0" xfId="283" applyNumberFormat="1" applyFont="1">
      <alignment/>
      <protection/>
    </xf>
    <xf numFmtId="173" fontId="0" fillId="0" borderId="29" xfId="104" applyNumberFormat="1" applyFont="1" applyBorder="1" applyAlignment="1">
      <alignment/>
    </xf>
    <xf numFmtId="173" fontId="0" fillId="0" borderId="14" xfId="104" applyNumberFormat="1" applyFont="1" applyBorder="1" applyAlignment="1">
      <alignment/>
    </xf>
    <xf numFmtId="0" fontId="0" fillId="0" borderId="37" xfId="283" applyFont="1" applyBorder="1" applyAlignment="1">
      <alignment horizontal="right"/>
      <protection/>
    </xf>
    <xf numFmtId="0" fontId="0" fillId="0" borderId="38" xfId="0" applyNumberFormat="1" applyFont="1" applyBorder="1" applyAlignment="1">
      <alignment horizontal="center"/>
    </xf>
    <xf numFmtId="173" fontId="8" fillId="29" borderId="35" xfId="104" applyNumberFormat="1" applyFont="1" applyFill="1" applyBorder="1" applyAlignment="1">
      <alignment horizontal="right"/>
    </xf>
    <xf numFmtId="0" fontId="0" fillId="0" borderId="35" xfId="283" applyFont="1" applyBorder="1">
      <alignment/>
      <protection/>
    </xf>
    <xf numFmtId="0" fontId="0" fillId="0" borderId="31" xfId="283" applyFont="1" applyBorder="1">
      <alignment/>
      <protection/>
    </xf>
    <xf numFmtId="0" fontId="0" fillId="0" borderId="31" xfId="283" applyFont="1" applyBorder="1" applyAlignment="1" quotePrefix="1">
      <alignment horizontal="left"/>
      <protection/>
    </xf>
    <xf numFmtId="173" fontId="8" fillId="29" borderId="36" xfId="104" applyNumberFormat="1" applyFont="1" applyFill="1" applyBorder="1" applyAlignment="1">
      <alignment horizontal="right"/>
    </xf>
    <xf numFmtId="3" fontId="22" fillId="0" borderId="35" xfId="227" applyNumberFormat="1" applyFont="1" applyFill="1" applyBorder="1" applyAlignment="1">
      <alignment horizontal="center" wrapText="1"/>
      <protection/>
    </xf>
    <xf numFmtId="3" fontId="22" fillId="0" borderId="11" xfId="227" applyNumberFormat="1" applyFont="1" applyFill="1" applyBorder="1" applyAlignment="1">
      <alignment horizontal="center" wrapText="1"/>
      <protection/>
    </xf>
    <xf numFmtId="0" fontId="9" fillId="0" borderId="31" xfId="268" applyFont="1" applyFill="1" applyBorder="1" applyAlignment="1">
      <alignment horizontal="center" wrapText="1"/>
    </xf>
    <xf numFmtId="0" fontId="0" fillId="0" borderId="0" xfId="0" applyFont="1" applyAlignment="1">
      <alignment wrapText="1"/>
    </xf>
    <xf numFmtId="0" fontId="9" fillId="0" borderId="36" xfId="283" applyFont="1" applyBorder="1" applyAlignment="1">
      <alignment horizontal="center" wrapText="1"/>
      <protection/>
    </xf>
    <xf numFmtId="0" fontId="0" fillId="0" borderId="34" xfId="0" applyNumberFormat="1" applyFont="1" applyBorder="1" applyAlignment="1">
      <alignment horizontal="center" wrapText="1"/>
    </xf>
    <xf numFmtId="0" fontId="9" fillId="0" borderId="0" xfId="283" applyFont="1" applyAlignment="1">
      <alignment horizontal="centerContinuous"/>
      <protection/>
    </xf>
    <xf numFmtId="0" fontId="0" fillId="0" borderId="0" xfId="205" applyFont="1">
      <alignment/>
      <protection/>
    </xf>
    <xf numFmtId="0" fontId="0" fillId="0" borderId="35" xfId="283" applyFont="1" applyBorder="1" applyAlignment="1">
      <alignment horizontal="right"/>
      <protection/>
    </xf>
    <xf numFmtId="0" fontId="9" fillId="0" borderId="0" xfId="283" applyFont="1" applyAlignment="1">
      <alignment horizontal="center"/>
      <protection/>
    </xf>
    <xf numFmtId="0" fontId="0" fillId="0" borderId="0" xfId="283" applyFont="1" applyFill="1" applyAlignment="1">
      <alignment horizontal="left"/>
      <protection/>
    </xf>
    <xf numFmtId="0" fontId="0" fillId="0" borderId="0" xfId="0" applyFont="1" applyAlignment="1">
      <alignment horizontal="right"/>
    </xf>
    <xf numFmtId="0" fontId="0" fillId="0" borderId="0" xfId="227" applyFont="1" applyFill="1" applyBorder="1" applyAlignment="1">
      <alignment horizontal="left"/>
      <protection/>
    </xf>
    <xf numFmtId="0" fontId="16" fillId="0" borderId="0" xfId="227" applyFont="1" applyBorder="1" applyAlignment="1">
      <alignment horizontal="center" vertical="center"/>
      <protection/>
    </xf>
    <xf numFmtId="0" fontId="16" fillId="0" borderId="0" xfId="269" applyFont="1" applyAlignment="1">
      <alignment horizontal="center" vertical="center" wrapText="1"/>
      <protection/>
    </xf>
    <xf numFmtId="0" fontId="16" fillId="0" borderId="0" xfId="227" applyFont="1" applyBorder="1" applyAlignment="1" quotePrefix="1">
      <alignment horizontal="center" vertical="center" wrapText="1"/>
      <protection/>
    </xf>
    <xf numFmtId="0" fontId="16" fillId="0" borderId="0" xfId="227"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3" applyFont="1" applyAlignment="1">
      <alignment horizontal="centerContinuous"/>
      <protection/>
    </xf>
    <xf numFmtId="0" fontId="14" fillId="0" borderId="0" xfId="283" applyFont="1" applyFill="1" applyAlignment="1">
      <alignment horizontal="left"/>
      <protection/>
    </xf>
    <xf numFmtId="0" fontId="89" fillId="0" borderId="0" xfId="283" applyFont="1" applyAlignment="1">
      <alignment horizontal="center"/>
      <protection/>
    </xf>
    <xf numFmtId="0" fontId="9" fillId="0" borderId="39" xfId="283" applyFont="1" applyBorder="1" applyAlignment="1">
      <alignment horizontal="center" wrapText="1"/>
      <protection/>
    </xf>
    <xf numFmtId="0" fontId="14" fillId="0" borderId="0" xfId="0" applyFont="1" applyAlignment="1">
      <alignment wrapText="1"/>
    </xf>
    <xf numFmtId="0" fontId="9" fillId="0" borderId="10" xfId="283" applyFont="1" applyBorder="1" applyAlignment="1">
      <alignment horizontal="center"/>
      <protection/>
    </xf>
    <xf numFmtId="0" fontId="119" fillId="0" borderId="0" xfId="0" applyFont="1" applyAlignment="1">
      <alignment/>
    </xf>
    <xf numFmtId="3" fontId="22" fillId="0" borderId="33" xfId="227" applyNumberFormat="1" applyFont="1" applyFill="1" applyBorder="1" applyAlignment="1">
      <alignment horizontal="center" wrapText="1"/>
      <protection/>
    </xf>
    <xf numFmtId="3" fontId="22" fillId="0" borderId="40" xfId="227" applyNumberFormat="1" applyFont="1" applyFill="1" applyBorder="1" applyAlignment="1">
      <alignment wrapText="1"/>
      <protection/>
    </xf>
    <xf numFmtId="173" fontId="8" fillId="6" borderId="0" xfId="122" applyNumberFormat="1" applyFont="1" applyFill="1" applyAlignment="1" applyProtection="1">
      <alignment/>
      <protection locked="0"/>
    </xf>
    <xf numFmtId="41" fontId="0" fillId="0" borderId="10" xfId="283" applyNumberFormat="1" applyFont="1" applyFill="1" applyBorder="1">
      <alignment/>
      <protection/>
    </xf>
    <xf numFmtId="173" fontId="0" fillId="0" borderId="41" xfId="103" applyNumberFormat="1" applyFont="1" applyBorder="1" applyAlignment="1">
      <alignment/>
    </xf>
    <xf numFmtId="3" fontId="22" fillId="0" borderId="40" xfId="227" applyNumberFormat="1" applyFont="1" applyFill="1" applyBorder="1" applyAlignment="1">
      <alignment horizontal="center" wrapText="1"/>
      <protection/>
    </xf>
    <xf numFmtId="0" fontId="14" fillId="0" borderId="0" xfId="283" applyFont="1">
      <alignment/>
      <protection/>
    </xf>
    <xf numFmtId="37" fontId="14" fillId="0" borderId="0" xfId="283" applyNumberFormat="1" applyFont="1">
      <alignment/>
      <protection/>
    </xf>
    <xf numFmtId="172" fontId="14" fillId="0" borderId="0" xfId="276" applyFont="1" applyAlignment="1">
      <alignment/>
    </xf>
    <xf numFmtId="0" fontId="0" fillId="0" borderId="0" xfId="271" applyFont="1" applyFill="1" applyAlignment="1" applyProtection="1">
      <alignment vertical="top"/>
      <protection/>
    </xf>
    <xf numFmtId="0" fontId="119" fillId="0" borderId="0" xfId="0" applyNumberFormat="1" applyFont="1" applyAlignment="1">
      <alignment horizontal="center"/>
    </xf>
    <xf numFmtId="0" fontId="88" fillId="0" borderId="0" xfId="272"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2"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2" applyFont="1" applyFill="1" applyProtection="1">
      <alignment/>
      <protection/>
    </xf>
    <xf numFmtId="0" fontId="0" fillId="0" borderId="0" xfId="199">
      <alignment/>
      <protection/>
    </xf>
    <xf numFmtId="0" fontId="0" fillId="0" borderId="0" xfId="272"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71"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9" applyProtection="1">
      <alignment/>
      <protection/>
    </xf>
    <xf numFmtId="10" fontId="0" fillId="0" borderId="0" xfId="291" applyNumberFormat="1" applyFont="1" applyFill="1" applyBorder="1" applyAlignment="1" applyProtection="1">
      <alignment/>
      <protection/>
    </xf>
    <xf numFmtId="10" fontId="9" fillId="0" borderId="0" xfId="291" applyNumberFormat="1" applyFont="1" applyFill="1" applyBorder="1" applyAlignment="1" applyProtection="1">
      <alignment/>
      <protection/>
    </xf>
    <xf numFmtId="0" fontId="9" fillId="0" borderId="0" xfId="272" applyFont="1" applyFill="1" applyProtection="1">
      <alignment/>
      <protection/>
    </xf>
    <xf numFmtId="173" fontId="0" fillId="0" borderId="0" xfId="291" applyNumberFormat="1" applyFont="1" applyFill="1" applyBorder="1" applyAlignment="1" applyProtection="1">
      <alignment/>
      <protection/>
    </xf>
    <xf numFmtId="10" fontId="9" fillId="0" borderId="42" xfId="291" applyNumberFormat="1" applyFont="1" applyFill="1" applyBorder="1" applyAlignment="1" applyProtection="1">
      <alignment/>
      <protection/>
    </xf>
    <xf numFmtId="0" fontId="97" fillId="0" borderId="0" xfId="199" applyFont="1" applyAlignment="1" applyProtection="1">
      <alignment horizontal="center"/>
      <protection/>
    </xf>
    <xf numFmtId="0" fontId="14" fillId="0" borderId="0" xfId="272" applyFont="1" applyFill="1" applyProtection="1">
      <alignment/>
      <protection/>
    </xf>
    <xf numFmtId="0" fontId="14" fillId="0" borderId="0" xfId="272" applyFont="1" applyProtection="1">
      <alignment/>
      <protection/>
    </xf>
    <xf numFmtId="41" fontId="9" fillId="0" borderId="0" xfId="272" applyNumberFormat="1" applyFont="1" applyFill="1" applyBorder="1" applyAlignment="1" applyProtection="1">
      <alignment horizontal="center" wrapText="1"/>
      <protection/>
    </xf>
    <xf numFmtId="0" fontId="9" fillId="0" borderId="0" xfId="272" applyFont="1" applyFill="1" applyAlignment="1" applyProtection="1">
      <alignment horizontal="center" wrapText="1"/>
      <protection/>
    </xf>
    <xf numFmtId="0" fontId="8" fillId="29" borderId="0" xfId="272" applyFont="1" applyFill="1" applyProtection="1">
      <alignment/>
      <protection locked="0"/>
    </xf>
    <xf numFmtId="173" fontId="14" fillId="0" borderId="0" xfId="272" applyNumberFormat="1" applyFont="1" applyFill="1" applyProtection="1">
      <alignment/>
      <protection/>
    </xf>
    <xf numFmtId="37" fontId="8" fillId="29" borderId="0" xfId="272" applyNumberFormat="1" applyFont="1" applyFill="1" applyProtection="1">
      <alignment/>
      <protection locked="0"/>
    </xf>
    <xf numFmtId="173" fontId="8" fillId="29" borderId="0" xfId="272" applyNumberFormat="1" applyFont="1" applyFill="1" applyProtection="1">
      <alignment/>
      <protection locked="0"/>
    </xf>
    <xf numFmtId="0" fontId="79" fillId="29" borderId="0" xfId="272" applyFont="1" applyFill="1" applyProtection="1">
      <alignment/>
      <protection locked="0"/>
    </xf>
    <xf numFmtId="0" fontId="0" fillId="0" borderId="11" xfId="0" applyFont="1" applyBorder="1" applyAlignment="1" applyProtection="1">
      <alignment/>
      <protection/>
    </xf>
    <xf numFmtId="0" fontId="14" fillId="0" borderId="11" xfId="272" applyFont="1" applyFill="1" applyBorder="1" applyProtection="1">
      <alignment/>
      <protection/>
    </xf>
    <xf numFmtId="0" fontId="0" fillId="26" borderId="0" xfId="272" applyFont="1" applyFill="1" applyAlignment="1" applyProtection="1">
      <alignment horizontal="left"/>
      <protection/>
    </xf>
    <xf numFmtId="41" fontId="0" fillId="0" borderId="0" xfId="291" applyNumberFormat="1" applyFont="1" applyFill="1" applyBorder="1" applyAlignment="1" applyProtection="1">
      <alignment/>
      <protection/>
    </xf>
    <xf numFmtId="173" fontId="14" fillId="0" borderId="0" xfId="272" applyNumberFormat="1" applyFont="1" applyProtection="1">
      <alignment/>
      <protection/>
    </xf>
    <xf numFmtId="187" fontId="0" fillId="0" borderId="0" xfId="103" applyNumberFormat="1" applyFont="1" applyFill="1" applyBorder="1" applyAlignment="1" applyProtection="1">
      <alignment/>
      <protection/>
    </xf>
    <xf numFmtId="10" fontId="14" fillId="0" borderId="0" xfId="291"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2" xfId="103" applyNumberFormat="1" applyFont="1" applyFill="1" applyBorder="1" applyAlignment="1" applyProtection="1">
      <alignment/>
      <protection/>
    </xf>
    <xf numFmtId="0" fontId="88" fillId="0" borderId="0" xfId="272" applyFont="1" applyFill="1" applyAlignment="1" applyProtection="1">
      <alignment horizontal="left"/>
      <protection/>
    </xf>
    <xf numFmtId="0" fontId="14" fillId="0" borderId="0" xfId="272" applyFont="1" applyFill="1" applyAlignment="1" applyProtection="1">
      <alignment horizontal="left"/>
      <protection/>
    </xf>
    <xf numFmtId="0" fontId="16" fillId="0" borderId="0" xfId="272" applyFont="1" applyFill="1" applyAlignment="1" applyProtection="1">
      <alignment horizontal="left"/>
      <protection/>
    </xf>
    <xf numFmtId="0" fontId="16" fillId="0" borderId="0" xfId="272" applyFont="1" applyFill="1" applyAlignment="1" applyProtection="1">
      <alignment horizontal="center" wrapText="1"/>
      <protection/>
    </xf>
    <xf numFmtId="0" fontId="0" fillId="0" borderId="0" xfId="272" applyFill="1" applyProtection="1">
      <alignment/>
      <protection/>
    </xf>
    <xf numFmtId="41" fontId="8" fillId="0" borderId="0" xfId="272"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2" applyNumberFormat="1" applyFill="1" applyBorder="1" applyProtection="1">
      <alignment/>
      <protection/>
    </xf>
    <xf numFmtId="41" fontId="89" fillId="0" borderId="0" xfId="272" applyNumberFormat="1" applyFont="1" applyFill="1" applyProtection="1">
      <alignment/>
      <protection/>
    </xf>
    <xf numFmtId="41" fontId="0" fillId="0" borderId="12" xfId="272" applyNumberFormat="1" applyFont="1" applyFill="1" applyBorder="1" applyProtection="1">
      <alignment/>
      <protection/>
    </xf>
    <xf numFmtId="41" fontId="9" fillId="0" borderId="39" xfId="272" applyNumberFormat="1" applyFont="1" applyFill="1" applyBorder="1" applyProtection="1">
      <alignment/>
      <protection/>
    </xf>
    <xf numFmtId="0" fontId="9" fillId="0" borderId="0" xfId="272"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3"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3" xfId="0" applyNumberFormat="1" applyFont="1" applyFill="1" applyBorder="1" applyAlignment="1">
      <alignment/>
    </xf>
    <xf numFmtId="37" fontId="0" fillId="0" borderId="44"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5"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6" fillId="0" borderId="44" xfId="0" applyNumberFormat="1" applyFont="1" applyFill="1" applyBorder="1" applyAlignment="1">
      <alignment/>
    </xf>
    <xf numFmtId="37" fontId="146" fillId="0" borderId="0" xfId="0" applyNumberFormat="1" applyFont="1" applyFill="1" applyAlignment="1">
      <alignment/>
    </xf>
    <xf numFmtId="190" fontId="0" fillId="0" borderId="0" xfId="269"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7" fillId="0" borderId="0" xfId="279" applyNumberFormat="1" applyFont="1" applyFill="1" applyAlignment="1" applyProtection="1">
      <alignment horizontal="center"/>
      <protection/>
    </xf>
    <xf numFmtId="172" fontId="148" fillId="0" borderId="0" xfId="279" applyFont="1" applyFill="1" applyAlignment="1" applyProtection="1">
      <alignment/>
      <protection/>
    </xf>
    <xf numFmtId="218" fontId="8" fillId="29" borderId="0" xfId="269" applyNumberFormat="1" applyFont="1" applyFill="1" applyProtection="1">
      <alignment/>
      <protection locked="0"/>
    </xf>
    <xf numFmtId="0" fontId="149" fillId="0" borderId="0" xfId="0" applyFont="1" applyFill="1" applyAlignment="1">
      <alignment horizontal="left"/>
    </xf>
    <xf numFmtId="10" fontId="66" fillId="29" borderId="0" xfId="290" applyNumberFormat="1" applyFont="1" applyFill="1" applyAlignment="1" applyProtection="1">
      <alignment horizontal="center"/>
      <protection locked="0"/>
    </xf>
    <xf numFmtId="10" fontId="66" fillId="29" borderId="0" xfId="280" applyNumberFormat="1" applyFont="1" applyFill="1" applyAlignment="1" applyProtection="1">
      <alignment horizontal="center"/>
      <protection locked="0"/>
    </xf>
    <xf numFmtId="173" fontId="17" fillId="0" borderId="0" xfId="280" applyNumberFormat="1" applyFont="1">
      <alignment/>
      <protection/>
    </xf>
    <xf numFmtId="0" fontId="17" fillId="0" borderId="0" xfId="280" applyNumberFormat="1" applyFont="1" applyAlignment="1">
      <alignment horizontal="center" vertical="center"/>
      <protection/>
    </xf>
    <xf numFmtId="0" fontId="17" fillId="0" borderId="0" xfId="280" applyNumberFormat="1" applyFont="1" applyAlignment="1">
      <alignment vertical="center"/>
      <protection/>
    </xf>
    <xf numFmtId="0" fontId="66" fillId="0" borderId="0" xfId="280" applyFont="1" applyFill="1" applyAlignment="1">
      <alignment horizontal="center"/>
      <protection/>
    </xf>
    <xf numFmtId="0" fontId="150" fillId="0" borderId="0" xfId="280" applyFont="1" applyFill="1" applyAlignment="1">
      <alignment horizontal="right"/>
      <protection/>
    </xf>
    <xf numFmtId="173" fontId="150" fillId="0" borderId="0" xfId="280" applyNumberFormat="1" applyFont="1" applyFill="1">
      <alignment/>
      <protection/>
    </xf>
    <xf numFmtId="0" fontId="17" fillId="0" borderId="0" xfId="280" applyFont="1" applyAlignment="1">
      <alignment horizontal="left" indent="2"/>
      <protection/>
    </xf>
    <xf numFmtId="173" fontId="151" fillId="0" borderId="0" xfId="280" applyNumberFormat="1" applyFont="1" applyBorder="1">
      <alignment/>
      <protection/>
    </xf>
    <xf numFmtId="173" fontId="151" fillId="0" borderId="0" xfId="280" applyNumberFormat="1" applyFont="1">
      <alignment/>
      <protection/>
    </xf>
    <xf numFmtId="0" fontId="122" fillId="0" borderId="0" xfId="280" applyNumberFormat="1" applyFont="1" applyAlignment="1">
      <alignment horizontal="center"/>
      <protection/>
    </xf>
    <xf numFmtId="0" fontId="122" fillId="0" borderId="0" xfId="280" applyNumberFormat="1" applyFont="1">
      <alignment/>
      <protection/>
    </xf>
    <xf numFmtId="0" fontId="123" fillId="0" borderId="0" xfId="280" applyFont="1">
      <alignment/>
      <protection/>
    </xf>
    <xf numFmtId="0" fontId="122" fillId="0" borderId="0" xfId="280" applyFont="1" applyFill="1" applyBorder="1">
      <alignment/>
      <protection/>
    </xf>
    <xf numFmtId="0" fontId="122" fillId="0" borderId="0" xfId="280" applyFont="1">
      <alignment/>
      <protection/>
    </xf>
    <xf numFmtId="173" fontId="122" fillId="0" borderId="0" xfId="280" applyNumberFormat="1" applyFont="1" applyBorder="1">
      <alignment/>
      <protection/>
    </xf>
    <xf numFmtId="173" fontId="122" fillId="0" borderId="0" xfId="280" applyNumberFormat="1" applyFont="1" applyFill="1" applyBorder="1">
      <alignment/>
      <protection/>
    </xf>
    <xf numFmtId="0" fontId="3" fillId="0" borderId="0" xfId="279" applyNumberFormat="1" applyFont="1" applyFill="1" applyAlignment="1" applyProtection="1">
      <alignment horizontal="left" wrapText="1"/>
      <protection/>
    </xf>
    <xf numFmtId="0" fontId="152" fillId="0" borderId="11" xfId="280" applyNumberFormat="1" applyFont="1" applyFill="1" applyBorder="1" applyAlignment="1">
      <alignment horizontal="center"/>
      <protection/>
    </xf>
    <xf numFmtId="0" fontId="152" fillId="0" borderId="2" xfId="280" applyNumberFormat="1" applyFont="1" applyFill="1" applyBorder="1" applyAlignment="1">
      <alignment horizontal="center"/>
      <protection/>
    </xf>
    <xf numFmtId="0" fontId="69" fillId="0" borderId="0" xfId="280" applyFont="1" applyFill="1" applyAlignment="1">
      <alignment horizontal="center" vertical="center"/>
      <protection/>
    </xf>
    <xf numFmtId="0" fontId="17" fillId="0" borderId="11" xfId="280" applyNumberFormat="1" applyFont="1" applyBorder="1" applyAlignment="1">
      <alignment horizontal="center"/>
      <protection/>
    </xf>
    <xf numFmtId="0" fontId="17" fillId="0" borderId="11" xfId="280" applyNumberFormat="1" applyFont="1" applyBorder="1">
      <alignment/>
      <protection/>
    </xf>
    <xf numFmtId="0" fontId="17" fillId="0" borderId="11" xfId="280" applyFont="1" applyBorder="1">
      <alignment/>
      <protection/>
    </xf>
    <xf numFmtId="173" fontId="72" fillId="0" borderId="11" xfId="280" applyNumberFormat="1" applyFont="1" applyFill="1" applyBorder="1" applyProtection="1">
      <alignment/>
      <protection locked="0"/>
    </xf>
    <xf numFmtId="173" fontId="66" fillId="0" borderId="11" xfId="280" applyNumberFormat="1" applyFont="1" applyFill="1" applyBorder="1">
      <alignment/>
      <protection/>
    </xf>
    <xf numFmtId="0" fontId="66" fillId="0" borderId="11" xfId="280"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4" fillId="0" borderId="0" xfId="279" applyNumberFormat="1" applyFont="1" applyFill="1" applyAlignment="1" applyProtection="1">
      <alignment horizontal="center"/>
      <protection/>
    </xf>
    <xf numFmtId="172" fontId="147" fillId="0" borderId="0" xfId="279" applyFont="1" applyFill="1" applyAlignment="1" applyProtection="1">
      <alignment/>
      <protection/>
    </xf>
    <xf numFmtId="41" fontId="8" fillId="29" borderId="0" xfId="271" applyNumberFormat="1" applyFont="1" applyFill="1">
      <alignment/>
      <protection/>
    </xf>
    <xf numFmtId="172" fontId="4" fillId="0" borderId="0" xfId="279" applyFont="1" applyFill="1" applyAlignment="1" applyProtection="1">
      <alignment horizontal="center"/>
      <protection/>
    </xf>
    <xf numFmtId="3" fontId="4" fillId="0" borderId="0" xfId="279" applyNumberFormat="1" applyFont="1" applyFill="1" applyAlignment="1" applyProtection="1">
      <alignment horizontal="center" vertical="center"/>
      <protection/>
    </xf>
    <xf numFmtId="0" fontId="1" fillId="0" borderId="0" xfId="279" applyNumberFormat="1" applyFont="1" applyFill="1" applyBorder="1" applyAlignment="1" applyProtection="1">
      <alignment horizontal="center"/>
      <protection/>
    </xf>
    <xf numFmtId="3" fontId="13" fillId="0" borderId="0" xfId="279" applyNumberFormat="1" applyFont="1" applyFill="1" applyAlignment="1" applyProtection="1">
      <alignment horizontal="center"/>
      <protection/>
    </xf>
    <xf numFmtId="0" fontId="1" fillId="0" borderId="6" xfId="279" applyNumberFormat="1" applyFont="1" applyFill="1" applyBorder="1" applyAlignment="1" applyProtection="1">
      <alignment horizontal="center"/>
      <protection/>
    </xf>
    <xf numFmtId="0" fontId="3" fillId="0" borderId="0" xfId="279" applyNumberFormat="1" applyFont="1" applyFill="1" applyBorder="1" applyAlignment="1" applyProtection="1">
      <alignment vertical="center"/>
      <protection/>
    </xf>
    <xf numFmtId="41" fontId="3" fillId="0" borderId="38" xfId="279"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4" applyFont="1" applyFill="1" applyAlignment="1" applyProtection="1">
      <alignment horizontal="center"/>
      <protection/>
    </xf>
    <xf numFmtId="0" fontId="4" fillId="0" borderId="0" xfId="270" applyFont="1" applyFill="1" applyBorder="1">
      <alignment/>
      <protection/>
    </xf>
    <xf numFmtId="0" fontId="68" fillId="0" borderId="0" xfId="280" applyFont="1" applyFill="1" applyAlignment="1">
      <alignment vertical="center" wrapText="1"/>
      <protection/>
    </xf>
    <xf numFmtId="0" fontId="4" fillId="0" borderId="0" xfId="269" applyFont="1" applyFill="1" applyBorder="1" applyAlignment="1" quotePrefix="1">
      <alignment horizontal="center"/>
      <protection/>
    </xf>
    <xf numFmtId="0" fontId="2" fillId="0" borderId="11" xfId="280" applyNumberFormat="1" applyFont="1" applyFill="1" applyBorder="1" applyAlignment="1">
      <alignment horizontal="center" wrapText="1"/>
      <protection/>
    </xf>
    <xf numFmtId="0" fontId="2" fillId="0" borderId="11" xfId="280" applyNumberFormat="1" applyFont="1" applyFill="1" applyBorder="1" applyAlignment="1">
      <alignment horizontal="center" vertical="center"/>
      <protection/>
    </xf>
    <xf numFmtId="186" fontId="2" fillId="0" borderId="11" xfId="280" applyNumberFormat="1" applyFont="1" applyFill="1" applyBorder="1" applyAlignment="1">
      <alignment horizontal="center" vertical="center" wrapText="1"/>
      <protection/>
    </xf>
    <xf numFmtId="0" fontId="2" fillId="0" borderId="11" xfId="280" applyNumberFormat="1" applyFont="1" applyFill="1" applyBorder="1" applyAlignment="1">
      <alignment horizontal="center" vertical="center" wrapText="1"/>
      <protection/>
    </xf>
    <xf numFmtId="186" fontId="2" fillId="0" borderId="11" xfId="280"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0" applyNumberFormat="1" applyFont="1" applyFill="1" applyBorder="1" applyAlignment="1">
      <alignment vertical="center"/>
      <protection/>
    </xf>
    <xf numFmtId="173" fontId="69" fillId="0" borderId="0" xfId="280" applyNumberFormat="1" applyFont="1" applyFill="1" applyBorder="1" applyAlignment="1">
      <alignment vertical="center"/>
      <protection/>
    </xf>
    <xf numFmtId="0" fontId="2" fillId="0" borderId="0" xfId="280" applyFont="1" applyFill="1" applyAlignment="1">
      <alignment horizontal="right" vertical="center"/>
      <protection/>
    </xf>
    <xf numFmtId="0" fontId="66" fillId="0" borderId="0" xfId="280" applyFont="1" applyFill="1" applyAlignment="1">
      <alignment wrapText="1"/>
      <protection/>
    </xf>
    <xf numFmtId="0" fontId="0" fillId="0" borderId="0" xfId="273" applyFont="1" applyFill="1" applyAlignment="1" applyProtection="1">
      <alignment horizontal="left"/>
      <protection/>
    </xf>
    <xf numFmtId="0" fontId="0" fillId="0" borderId="0" xfId="199" applyFont="1" applyFill="1" applyAlignment="1" applyProtection="1">
      <alignment wrapText="1"/>
      <protection/>
    </xf>
    <xf numFmtId="0" fontId="0" fillId="0" borderId="0" xfId="199"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80" applyNumberFormat="1" applyFont="1" applyFill="1">
      <alignment/>
      <protection/>
    </xf>
    <xf numFmtId="0" fontId="0" fillId="0" borderId="0" xfId="181">
      <alignment/>
      <protection/>
    </xf>
    <xf numFmtId="173" fontId="8" fillId="32" borderId="0" xfId="104" applyNumberFormat="1" applyFont="1" applyFill="1" applyBorder="1" applyAlignment="1">
      <alignment horizontal="right"/>
    </xf>
    <xf numFmtId="173" fontId="8" fillId="32" borderId="36" xfId="104" applyNumberFormat="1" applyFont="1" applyFill="1" applyBorder="1" applyAlignment="1">
      <alignment horizontal="right"/>
    </xf>
    <xf numFmtId="173" fontId="8" fillId="32" borderId="31" xfId="104" applyNumberFormat="1" applyFont="1" applyFill="1" applyBorder="1" applyAlignment="1">
      <alignment horizontal="right"/>
    </xf>
    <xf numFmtId="173" fontId="8" fillId="32" borderId="32" xfId="104" applyNumberFormat="1" applyFont="1" applyFill="1" applyBorder="1" applyAlignment="1">
      <alignment horizontal="right"/>
    </xf>
    <xf numFmtId="0" fontId="0" fillId="0" borderId="30" xfId="0" applyNumberFormat="1" applyFont="1" applyBorder="1" applyAlignment="1">
      <alignment horizontal="center"/>
    </xf>
    <xf numFmtId="0" fontId="0" fillId="0" borderId="29" xfId="283" applyFont="1" applyBorder="1" applyAlignment="1">
      <alignment horizontal="right"/>
      <protection/>
    </xf>
    <xf numFmtId="173" fontId="8" fillId="32" borderId="0" xfId="122" applyNumberFormat="1" applyFont="1" applyFill="1" applyAlignment="1" applyProtection="1">
      <alignment/>
      <protection locked="0"/>
    </xf>
    <xf numFmtId="173" fontId="8" fillId="32" borderId="0" xfId="103" applyNumberFormat="1" applyFont="1" applyFill="1" applyBorder="1" applyAlignment="1" applyProtection="1">
      <alignment/>
      <protection locked="0"/>
    </xf>
    <xf numFmtId="41" fontId="0" fillId="32" borderId="10" xfId="283" applyNumberFormat="1" applyFont="1" applyFill="1" applyBorder="1">
      <alignment/>
      <protection/>
    </xf>
    <xf numFmtId="0" fontId="125" fillId="0" borderId="0" xfId="0" applyFont="1" applyAlignment="1">
      <alignment vertical="center"/>
    </xf>
    <xf numFmtId="0" fontId="126" fillId="0" borderId="0" xfId="0" applyFont="1" applyAlignment="1">
      <alignment/>
    </xf>
    <xf numFmtId="0" fontId="124" fillId="0" borderId="0" xfId="0" applyFont="1" applyAlignment="1">
      <alignment/>
    </xf>
    <xf numFmtId="0" fontId="124" fillId="0" borderId="0" xfId="0" applyFont="1" applyAlignment="1">
      <alignment horizontal="left"/>
    </xf>
    <xf numFmtId="0" fontId="124" fillId="0" borderId="0" xfId="227" applyFont="1" applyBorder="1" applyAlignment="1">
      <alignment horizontal="center"/>
      <protection/>
    </xf>
    <xf numFmtId="0" fontId="126" fillId="0" borderId="0" xfId="0" applyFont="1" applyAlignment="1">
      <alignment horizontal="center"/>
    </xf>
    <xf numFmtId="0" fontId="127" fillId="0" borderId="0" xfId="227" applyFont="1" applyBorder="1" applyAlignment="1">
      <alignment/>
      <protection/>
    </xf>
    <xf numFmtId="0" fontId="124" fillId="0" borderId="0" xfId="227" applyFont="1" applyBorder="1" applyAlignment="1">
      <alignment horizontal="left"/>
      <protection/>
    </xf>
    <xf numFmtId="0" fontId="124" fillId="0" borderId="0" xfId="227" applyFont="1" applyBorder="1" applyAlignment="1">
      <alignment/>
      <protection/>
    </xf>
    <xf numFmtId="3" fontId="124" fillId="0" borderId="0" xfId="0" applyNumberFormat="1" applyFont="1" applyAlignment="1">
      <alignment/>
    </xf>
    <xf numFmtId="3" fontId="124" fillId="0" borderId="0" xfId="0" applyNumberFormat="1" applyFont="1" applyAlignment="1">
      <alignment horizontal="left"/>
    </xf>
    <xf numFmtId="0" fontId="128" fillId="0" borderId="0" xfId="0" applyFont="1" applyAlignment="1">
      <alignment horizontal="center"/>
    </xf>
    <xf numFmtId="0" fontId="129" fillId="0" borderId="0" xfId="0" applyFont="1" applyAlignment="1">
      <alignment/>
    </xf>
    <xf numFmtId="0" fontId="128" fillId="0" borderId="0" xfId="0" applyFont="1" applyAlignment="1">
      <alignment wrapText="1"/>
    </xf>
    <xf numFmtId="0" fontId="128" fillId="0" borderId="0" xfId="0" applyFont="1" applyAlignment="1">
      <alignment/>
    </xf>
    <xf numFmtId="41" fontId="126" fillId="0" borderId="0" xfId="0" applyNumberFormat="1" applyFont="1" applyAlignment="1">
      <alignment/>
    </xf>
    <xf numFmtId="41" fontId="129" fillId="0" borderId="0" xfId="0" applyNumberFormat="1" applyFont="1" applyAlignment="1">
      <alignment/>
    </xf>
    <xf numFmtId="0" fontId="130" fillId="0" borderId="0" xfId="0" applyFont="1" applyAlignment="1">
      <alignment horizontal="center"/>
    </xf>
    <xf numFmtId="0" fontId="131" fillId="0" borderId="0" xfId="0" applyFont="1" applyFill="1" applyAlignment="1">
      <alignment horizontal="center"/>
    </xf>
    <xf numFmtId="0" fontId="132" fillId="0" borderId="0" xfId="0" applyFont="1" applyAlignment="1">
      <alignment horizontal="center"/>
    </xf>
    <xf numFmtId="0" fontId="129" fillId="0" borderId="0" xfId="0" applyFont="1" applyFill="1" applyAlignment="1">
      <alignment/>
    </xf>
    <xf numFmtId="173" fontId="133" fillId="29" borderId="0" xfId="124" applyNumberFormat="1" applyFont="1" applyFill="1" applyAlignment="1" applyProtection="1">
      <alignment/>
      <protection locked="0"/>
    </xf>
    <xf numFmtId="41" fontId="129" fillId="0" borderId="0" xfId="274" applyNumberFormat="1" applyFont="1" applyFill="1" applyBorder="1">
      <alignment/>
      <protection/>
    </xf>
    <xf numFmtId="41" fontId="126" fillId="0" borderId="0" xfId="0" applyNumberFormat="1" applyFont="1" applyAlignment="1">
      <alignment/>
    </xf>
    <xf numFmtId="173" fontId="126" fillId="0" borderId="0" xfId="0" applyNumberFormat="1" applyFont="1" applyAlignment="1">
      <alignment/>
    </xf>
    <xf numFmtId="0" fontId="126" fillId="0" borderId="0" xfId="0" applyFont="1" applyAlignment="1">
      <alignment wrapText="1"/>
    </xf>
    <xf numFmtId="0" fontId="126" fillId="0" borderId="0" xfId="0" applyFont="1" applyAlignment="1">
      <alignment/>
    </xf>
    <xf numFmtId="0" fontId="126" fillId="0" borderId="11" xfId="0" applyFont="1" applyBorder="1" applyAlignment="1">
      <alignment/>
    </xf>
    <xf numFmtId="0" fontId="129" fillId="0" borderId="11" xfId="0" applyFont="1" applyFill="1" applyBorder="1" applyAlignment="1">
      <alignment/>
    </xf>
    <xf numFmtId="0" fontId="129" fillId="0" borderId="11" xfId="0" applyFont="1" applyBorder="1" applyAlignment="1">
      <alignment/>
    </xf>
    <xf numFmtId="0" fontId="126" fillId="0" borderId="11" xfId="0" applyFont="1" applyBorder="1" applyAlignment="1">
      <alignment/>
    </xf>
    <xf numFmtId="41" fontId="129" fillId="0" borderId="0" xfId="0" applyNumberFormat="1" applyFont="1" applyFill="1" applyAlignment="1">
      <alignment/>
    </xf>
    <xf numFmtId="0" fontId="129" fillId="0" borderId="0" xfId="0" applyFont="1" applyAlignment="1">
      <alignment horizontal="center"/>
    </xf>
    <xf numFmtId="198" fontId="129" fillId="0" borderId="0" xfId="124" applyNumberFormat="1" applyFont="1" applyAlignment="1">
      <alignment horizontal="center"/>
    </xf>
    <xf numFmtId="0" fontId="126" fillId="0" borderId="0" xfId="0" applyFont="1" applyBorder="1" applyAlignment="1">
      <alignment/>
    </xf>
    <xf numFmtId="173" fontId="126" fillId="0" borderId="14" xfId="0" applyNumberFormat="1" applyFont="1" applyBorder="1" applyAlignment="1">
      <alignment/>
    </xf>
    <xf numFmtId="173" fontId="129" fillId="0" borderId="14" xfId="0" applyNumberFormat="1" applyFont="1" applyFill="1" applyBorder="1" applyAlignment="1">
      <alignment/>
    </xf>
    <xf numFmtId="41" fontId="126" fillId="0" borderId="14" xfId="0" applyNumberFormat="1" applyFont="1" applyBorder="1" applyAlignment="1">
      <alignment/>
    </xf>
    <xf numFmtId="43" fontId="129" fillId="0" borderId="0" xfId="0" applyNumberFormat="1" applyFont="1" applyAlignment="1">
      <alignment/>
    </xf>
    <xf numFmtId="0" fontId="129" fillId="0" borderId="0" xfId="0" applyFont="1" applyAlignment="1">
      <alignment wrapText="1"/>
    </xf>
    <xf numFmtId="0" fontId="134" fillId="0" borderId="0" xfId="0" applyFont="1" applyAlignment="1">
      <alignment horizontal="center" wrapText="1"/>
    </xf>
    <xf numFmtId="173" fontId="126" fillId="0" borderId="0" xfId="0" applyNumberFormat="1" applyFont="1" applyAlignment="1">
      <alignment wrapText="1"/>
    </xf>
    <xf numFmtId="0" fontId="128" fillId="0" borderId="0" xfId="0" applyFont="1" applyAlignment="1">
      <alignment horizontal="center" wrapText="1"/>
    </xf>
    <xf numFmtId="43" fontId="128" fillId="0" borderId="0" xfId="124" applyFont="1" applyAlignment="1">
      <alignment horizontal="center" wrapText="1"/>
    </xf>
    <xf numFmtId="173" fontId="126" fillId="0" borderId="0" xfId="0" applyNumberFormat="1" applyFont="1" applyBorder="1" applyAlignment="1">
      <alignment/>
    </xf>
    <xf numFmtId="173" fontId="126" fillId="0" borderId="0" xfId="124" applyNumberFormat="1" applyFont="1" applyAlignment="1">
      <alignment/>
    </xf>
    <xf numFmtId="173" fontId="128" fillId="0" borderId="0" xfId="124" applyNumberFormat="1" applyFont="1" applyAlignment="1">
      <alignment horizontal="center" wrapText="1"/>
    </xf>
    <xf numFmtId="173" fontId="128" fillId="0" borderId="0" xfId="124" applyNumberFormat="1" applyFont="1" applyAlignment="1">
      <alignment/>
    </xf>
    <xf numFmtId="173" fontId="128" fillId="0" borderId="0" xfId="124" applyNumberFormat="1" applyFont="1" applyAlignment="1">
      <alignment horizontal="center"/>
    </xf>
    <xf numFmtId="10" fontId="126" fillId="0" borderId="0" xfId="310" applyNumberFormat="1" applyFont="1" applyAlignment="1">
      <alignment/>
    </xf>
    <xf numFmtId="164" fontId="126" fillId="29" borderId="0" xfId="291" applyNumberFormat="1" applyFont="1" applyFill="1" applyAlignment="1" applyProtection="1">
      <alignment/>
      <protection locked="0"/>
    </xf>
    <xf numFmtId="173" fontId="126" fillId="0" borderId="11" xfId="0" applyNumberFormat="1" applyFont="1" applyBorder="1" applyAlignment="1">
      <alignment/>
    </xf>
    <xf numFmtId="173" fontId="126" fillId="0" borderId="11" xfId="124" applyNumberFormat="1" applyFont="1" applyBorder="1" applyAlignment="1">
      <alignment/>
    </xf>
    <xf numFmtId="0" fontId="3" fillId="0" borderId="0" xfId="279" applyNumberFormat="1" applyFont="1" applyFill="1" applyAlignment="1" applyProtection="1">
      <alignment horizontal="left" indent="4"/>
      <protection/>
    </xf>
    <xf numFmtId="41" fontId="18" fillId="0" borderId="0" xfId="279" applyNumberFormat="1" applyFont="1" applyFill="1" applyAlignment="1" applyProtection="1">
      <alignment/>
      <protection locked="0"/>
    </xf>
    <xf numFmtId="0" fontId="3" fillId="0" borderId="0" xfId="269" applyFont="1" applyFill="1" applyBorder="1">
      <alignment/>
      <protection/>
    </xf>
    <xf numFmtId="38" fontId="18" fillId="0" borderId="0" xfId="0" applyNumberFormat="1" applyFont="1" applyFill="1" applyBorder="1" applyAlignment="1" applyProtection="1">
      <alignment/>
      <protection locked="0"/>
    </xf>
    <xf numFmtId="38" fontId="18" fillId="29" borderId="0" xfId="181" applyNumberFormat="1" applyFont="1" applyFill="1" applyBorder="1" applyProtection="1">
      <alignment/>
      <protection locked="0"/>
    </xf>
    <xf numFmtId="0" fontId="21" fillId="0" borderId="0" xfId="269" applyFont="1" applyFill="1" applyBorder="1">
      <alignment/>
      <protection/>
    </xf>
    <xf numFmtId="38" fontId="3" fillId="0" borderId="13" xfId="269" applyNumberFormat="1" applyFont="1" applyFill="1" applyBorder="1" applyAlignment="1">
      <alignment horizontal="right"/>
      <protection/>
    </xf>
    <xf numFmtId="0" fontId="3" fillId="0" borderId="0" xfId="269" applyFont="1" applyFill="1" applyAlignment="1">
      <alignment horizontal="left"/>
      <protection/>
    </xf>
    <xf numFmtId="41" fontId="3" fillId="0" borderId="0" xfId="269" applyNumberFormat="1" applyFont="1" applyFill="1" applyBorder="1">
      <alignment/>
      <protection/>
    </xf>
    <xf numFmtId="173" fontId="3" fillId="0" borderId="0" xfId="269" applyNumberFormat="1" applyFont="1" applyFill="1">
      <alignment/>
      <protection/>
    </xf>
    <xf numFmtId="173" fontId="3" fillId="0" borderId="0" xfId="269" applyNumberFormat="1" applyFont="1" applyFill="1" applyBorder="1" applyAlignment="1">
      <alignment vertical="top"/>
      <protection/>
    </xf>
    <xf numFmtId="41" fontId="18" fillId="0" borderId="11" xfId="269" applyNumberFormat="1" applyFont="1" applyFill="1" applyBorder="1">
      <alignment/>
      <protection/>
    </xf>
    <xf numFmtId="41" fontId="3" fillId="0" borderId="11" xfId="269" applyNumberFormat="1" applyFont="1" applyFill="1" applyBorder="1">
      <alignment/>
      <protection/>
    </xf>
    <xf numFmtId="3" fontId="3" fillId="0" borderId="0" xfId="0" applyNumberFormat="1" applyFont="1" applyFill="1" applyAlignment="1">
      <alignment/>
    </xf>
    <xf numFmtId="3" fontId="10" fillId="0" borderId="0" xfId="0" applyNumberFormat="1" applyFont="1" applyFill="1" applyAlignment="1">
      <alignment horizontal="center"/>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3" fontId="18" fillId="26" borderId="0" xfId="0" applyNumberFormat="1" applyFont="1" applyFill="1" applyAlignment="1">
      <alignment/>
    </xf>
    <xf numFmtId="3" fontId="18" fillId="26" borderId="0" xfId="0" applyNumberFormat="1" applyFont="1" applyFill="1" applyBorder="1" applyAlignment="1">
      <alignment/>
    </xf>
    <xf numFmtId="0" fontId="3" fillId="26" borderId="0" xfId="0" applyFont="1" applyFill="1" applyAlignment="1">
      <alignment/>
    </xf>
    <xf numFmtId="3" fontId="18" fillId="29" borderId="0" xfId="0" applyNumberFormat="1" applyFont="1" applyFill="1" applyAlignment="1" applyProtection="1">
      <alignment/>
      <protection locked="0"/>
    </xf>
    <xf numFmtId="0" fontId="0" fillId="31" borderId="27" xfId="0" applyNumberFormat="1" applyFont="1" applyFill="1" applyBorder="1" applyAlignment="1" applyProtection="1">
      <alignment horizontal="center"/>
      <protection/>
    </xf>
    <xf numFmtId="0" fontId="135" fillId="0" borderId="0" xfId="269" applyFont="1" applyFill="1">
      <alignment/>
      <protection/>
    </xf>
    <xf numFmtId="41" fontId="18" fillId="0" borderId="0" xfId="269" applyNumberFormat="1" applyFont="1" applyFill="1" applyBorder="1">
      <alignment/>
      <protection/>
    </xf>
    <xf numFmtId="38" fontId="3" fillId="0" borderId="0" xfId="0" applyNumberFormat="1" applyFont="1" applyBorder="1" applyAlignment="1">
      <alignment/>
    </xf>
    <xf numFmtId="41" fontId="18" fillId="20" borderId="0" xfId="269" applyNumberFormat="1" applyFont="1" applyFill="1" applyBorder="1">
      <alignment/>
      <protection/>
    </xf>
    <xf numFmtId="0" fontId="18" fillId="29" borderId="0" xfId="271" applyFont="1" applyFill="1" applyAlignment="1" applyProtection="1">
      <alignment horizontal="center"/>
      <protection locked="0"/>
    </xf>
    <xf numFmtId="3" fontId="18" fillId="29" borderId="0" xfId="181" applyNumberFormat="1" applyFont="1" applyFill="1" applyAlignment="1" applyProtection="1">
      <alignment/>
      <protection locked="0"/>
    </xf>
    <xf numFmtId="41" fontId="18" fillId="29" borderId="0" xfId="271" applyNumberFormat="1" applyFont="1" applyFill="1" applyBorder="1" applyProtection="1">
      <alignment/>
      <protection locked="0"/>
    </xf>
    <xf numFmtId="10" fontId="66" fillId="0" borderId="0" xfId="291" applyNumberFormat="1" applyFont="1" applyFill="1" applyAlignment="1">
      <alignment/>
    </xf>
    <xf numFmtId="10" fontId="0" fillId="0" borderId="0" xfId="291" applyNumberFormat="1" applyFont="1" applyFill="1" applyAlignment="1">
      <alignment/>
    </xf>
    <xf numFmtId="10" fontId="72" fillId="29" borderId="11" xfId="291" applyNumberFormat="1" applyFont="1" applyFill="1" applyBorder="1" applyAlignment="1" applyProtection="1">
      <alignment/>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0" fontId="66" fillId="26" borderId="0" xfId="280" applyFont="1" applyFill="1" applyAlignment="1">
      <alignment horizontal="center"/>
      <protection/>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4" fontId="8" fillId="4" borderId="26" xfId="181" applyNumberFormat="1" applyFont="1" applyFill="1" applyBorder="1" applyProtection="1">
      <alignment/>
      <protection/>
    </xf>
    <xf numFmtId="174" fontId="8" fillId="4" borderId="27" xfId="181" applyNumberFormat="1" applyFont="1" applyFill="1" applyBorder="1" applyProtection="1">
      <alignment/>
      <protection/>
    </xf>
    <xf numFmtId="173" fontId="133" fillId="29" borderId="11" xfId="124" applyNumberFormat="1" applyFont="1" applyFill="1" applyBorder="1" applyAlignment="1" applyProtection="1">
      <alignment/>
      <protection locked="0"/>
    </xf>
    <xf numFmtId="0" fontId="0" fillId="0" borderId="27" xfId="0" applyNumberFormat="1" applyFont="1" applyFill="1" applyBorder="1" applyAlignment="1" applyProtection="1">
      <alignment horizontal="center"/>
      <protection/>
    </xf>
    <xf numFmtId="0" fontId="0" fillId="0" borderId="27" xfId="100" applyNumberFormat="1" applyFont="1" applyBorder="1" applyAlignment="1" applyProtection="1">
      <alignment/>
      <protection/>
    </xf>
    <xf numFmtId="0" fontId="8" fillId="29" borderId="0" xfId="271" applyFont="1" applyFill="1" applyProtection="1">
      <alignment/>
      <protection locked="0"/>
    </xf>
    <xf numFmtId="173" fontId="8" fillId="29" borderId="0" xfId="103" applyNumberFormat="1" applyFont="1" applyFill="1" applyBorder="1" applyAlignment="1" applyProtection="1">
      <alignment/>
      <protection locked="0"/>
    </xf>
    <xf numFmtId="173" fontId="8" fillId="29" borderId="0" xfId="103" applyNumberFormat="1" applyFont="1" applyFill="1" applyBorder="1" applyAlignment="1" applyProtection="1">
      <alignment/>
      <protection locked="0"/>
    </xf>
    <xf numFmtId="213" fontId="8" fillId="29" borderId="0" xfId="271" applyNumberFormat="1" applyFont="1" applyFill="1" applyProtection="1">
      <alignment/>
      <protection locked="0"/>
    </xf>
    <xf numFmtId="173" fontId="8" fillId="29" borderId="0" xfId="103" applyNumberFormat="1" applyFont="1" applyFill="1" applyAlignment="1" applyProtection="1">
      <alignment/>
      <protection locked="0"/>
    </xf>
    <xf numFmtId="164" fontId="8" fillId="29" borderId="0" xfId="291" applyNumberFormat="1" applyFont="1" applyFill="1" applyAlignment="1" applyProtection="1">
      <alignment horizontal="right" wrapText="1"/>
      <protection locked="0"/>
    </xf>
    <xf numFmtId="44" fontId="8" fillId="29" borderId="0" xfId="132" applyFont="1" applyFill="1" applyAlignment="1" applyProtection="1">
      <alignment horizontal="right" wrapText="1"/>
      <protection locked="0"/>
    </xf>
    <xf numFmtId="173" fontId="8" fillId="29" borderId="0" xfId="103" applyNumberFormat="1" applyFont="1" applyFill="1" applyAlignment="1" applyProtection="1">
      <alignment/>
      <protection locked="0"/>
    </xf>
    <xf numFmtId="164" fontId="8" fillId="29" borderId="0" xfId="291" applyNumberFormat="1" applyFont="1" applyFill="1" applyAlignment="1" applyProtection="1">
      <alignment horizontal="right" wrapText="1"/>
      <protection locked="0"/>
    </xf>
    <xf numFmtId="44" fontId="8" fillId="29" borderId="0" xfId="132" applyFont="1" applyFill="1" applyAlignment="1" applyProtection="1">
      <alignment horizontal="right" wrapText="1"/>
      <protection locked="0"/>
    </xf>
    <xf numFmtId="173" fontId="8" fillId="29" borderId="0" xfId="103" applyNumberFormat="1" applyFont="1" applyFill="1" applyAlignment="1" applyProtection="1">
      <alignment/>
      <protection locked="0"/>
    </xf>
    <xf numFmtId="164" fontId="8" fillId="29" borderId="0" xfId="291" applyNumberFormat="1" applyFont="1" applyFill="1" applyAlignment="1" applyProtection="1">
      <alignment horizontal="right" wrapText="1"/>
      <protection locked="0"/>
    </xf>
    <xf numFmtId="44" fontId="8" fillId="29" borderId="0" xfId="132" applyFont="1" applyFill="1" applyAlignment="1" applyProtection="1">
      <alignment horizontal="right" wrapText="1"/>
      <protection locked="0"/>
    </xf>
    <xf numFmtId="173" fontId="8" fillId="29" borderId="0" xfId="103" applyNumberFormat="1" applyFont="1" applyFill="1" applyAlignment="1" applyProtection="1">
      <alignment/>
      <protection locked="0"/>
    </xf>
    <xf numFmtId="41" fontId="136" fillId="0" borderId="0" xfId="271" applyNumberFormat="1" applyFont="1" applyFill="1" applyBorder="1">
      <alignment/>
      <protection/>
    </xf>
    <xf numFmtId="173" fontId="8" fillId="29" borderId="0" xfId="103" applyNumberFormat="1" applyFont="1" applyFill="1" applyAlignment="1" applyProtection="1">
      <alignment/>
      <protection locked="0"/>
    </xf>
    <xf numFmtId="174" fontId="144" fillId="4" borderId="27" xfId="181" applyNumberFormat="1" applyFont="1" applyFill="1" applyBorder="1" applyProtection="1">
      <alignment/>
      <protection/>
    </xf>
    <xf numFmtId="173" fontId="144" fillId="29" borderId="17" xfId="103" applyNumberFormat="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0" fontId="8" fillId="29" borderId="19" xfId="181" applyFont="1" applyFill="1" applyBorder="1" applyAlignment="1" applyProtection="1">
      <alignment horizontal="right"/>
      <protection locked="0"/>
    </xf>
    <xf numFmtId="173" fontId="144" fillId="29" borderId="17" xfId="103" applyNumberFormat="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174" fontId="8" fillId="4" borderId="10" xfId="181" applyNumberFormat="1" applyFont="1" applyFill="1" applyBorder="1" applyProtection="1">
      <alignment/>
      <protection/>
    </xf>
    <xf numFmtId="173" fontId="144" fillId="29" borderId="17" xfId="103" applyNumberFormat="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173" fontId="144" fillId="29" borderId="17" xfId="103" applyNumberFormat="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0" fontId="8" fillId="29" borderId="19" xfId="181" applyFont="1" applyFill="1" applyBorder="1" applyAlignment="1" applyProtection="1">
      <alignment horizontal="right"/>
      <protection locked="0"/>
    </xf>
    <xf numFmtId="173" fontId="144" fillId="29" borderId="17" xfId="103" applyNumberFormat="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0" fontId="8" fillId="29" borderId="19" xfId="181" applyFont="1" applyFill="1" applyBorder="1" applyAlignment="1" applyProtection="1">
      <alignment horizontal="right"/>
      <protection locked="0"/>
    </xf>
    <xf numFmtId="173" fontId="144" fillId="29" borderId="17" xfId="103" applyNumberFormat="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0" fontId="0" fillId="0" borderId="0" xfId="278" applyAlignment="1">
      <alignment horizontal="center"/>
      <protection/>
    </xf>
    <xf numFmtId="0" fontId="0" fillId="0" borderId="0" xfId="278">
      <alignment/>
      <protection/>
    </xf>
    <xf numFmtId="0" fontId="3" fillId="0" borderId="0" xfId="278" applyFont="1">
      <alignment/>
      <protection/>
    </xf>
    <xf numFmtId="0" fontId="109" fillId="0" borderId="0" xfId="282" applyFont="1">
      <alignment/>
      <protection/>
    </xf>
    <xf numFmtId="0" fontId="108" fillId="0" borderId="0" xfId="282" applyFont="1">
      <alignment/>
      <protection/>
    </xf>
    <xf numFmtId="0" fontId="107" fillId="0" borderId="0" xfId="282" applyFont="1" applyProtection="1">
      <alignment/>
      <protection locked="0"/>
    </xf>
    <xf numFmtId="0" fontId="1" fillId="0" borderId="0" xfId="282" applyFont="1" applyBorder="1">
      <alignment/>
      <protection/>
    </xf>
    <xf numFmtId="0" fontId="102" fillId="0" borderId="0" xfId="282" applyFont="1" applyBorder="1" applyProtection="1">
      <alignment/>
      <protection locked="0"/>
    </xf>
    <xf numFmtId="0" fontId="102" fillId="0" borderId="46" xfId="282" applyFont="1" applyBorder="1" applyProtection="1">
      <alignment/>
      <protection locked="0"/>
    </xf>
    <xf numFmtId="0" fontId="106" fillId="0" borderId="46" xfId="282" applyFont="1" applyBorder="1">
      <alignment/>
      <protection/>
    </xf>
    <xf numFmtId="176" fontId="102" fillId="0" borderId="0" xfId="282" applyNumberFormat="1" applyFont="1" applyProtection="1">
      <alignment/>
      <protection locked="0"/>
    </xf>
    <xf numFmtId="0" fontId="105" fillId="0" borderId="0" xfId="282" applyFont="1" applyProtection="1">
      <alignment/>
      <protection locked="0"/>
    </xf>
    <xf numFmtId="176" fontId="1" fillId="0" borderId="0" xfId="282" applyNumberFormat="1">
      <alignment/>
      <protection/>
    </xf>
    <xf numFmtId="0" fontId="1" fillId="0" borderId="0" xfId="282">
      <alignment/>
      <protection/>
    </xf>
    <xf numFmtId="201" fontId="103" fillId="0" borderId="0" xfId="282" applyNumberFormat="1" applyFont="1" applyAlignment="1">
      <alignment horizontal="center"/>
      <protection/>
    </xf>
    <xf numFmtId="0" fontId="103" fillId="0" borderId="0" xfId="282" applyFont="1">
      <alignment/>
      <protection/>
    </xf>
    <xf numFmtId="176" fontId="103" fillId="0" borderId="0" xfId="282" applyNumberFormat="1" applyFont="1" applyAlignment="1">
      <alignment horizontal="center"/>
      <protection/>
    </xf>
    <xf numFmtId="0" fontId="104" fillId="0" borderId="0" xfId="282" applyFont="1" applyProtection="1">
      <alignment/>
      <protection locked="0"/>
    </xf>
    <xf numFmtId="0" fontId="103" fillId="0" borderId="0" xfId="282" applyFont="1" applyAlignment="1">
      <alignment horizontal="center"/>
      <protection/>
    </xf>
    <xf numFmtId="0" fontId="71" fillId="0" borderId="0" xfId="282" applyFont="1">
      <alignment/>
      <protection/>
    </xf>
    <xf numFmtId="0" fontId="71" fillId="0" borderId="47" xfId="282" applyFont="1" applyBorder="1" applyAlignment="1">
      <alignment horizontal="center"/>
      <protection/>
    </xf>
    <xf numFmtId="0" fontId="102" fillId="0" borderId="0" xfId="282" applyFont="1" applyProtection="1">
      <alignment/>
      <protection locked="0"/>
    </xf>
    <xf numFmtId="10" fontId="1" fillId="0" borderId="0" xfId="282" applyNumberFormat="1" applyProtection="1">
      <alignment/>
      <protection/>
    </xf>
    <xf numFmtId="10" fontId="1" fillId="0" borderId="46" xfId="282" applyNumberFormat="1" applyBorder="1" applyProtection="1">
      <alignment/>
      <protection/>
    </xf>
    <xf numFmtId="200" fontId="1" fillId="0" borderId="46" xfId="282" applyNumberFormat="1" applyBorder="1" applyProtection="1">
      <alignment/>
      <protection/>
    </xf>
    <xf numFmtId="176" fontId="1" fillId="0" borderId="46" xfId="282" applyNumberFormat="1" applyBorder="1" applyProtection="1">
      <alignment/>
      <protection/>
    </xf>
    <xf numFmtId="199" fontId="1" fillId="0" borderId="46" xfId="282" applyNumberFormat="1" applyBorder="1" applyProtection="1">
      <alignment/>
      <protection/>
    </xf>
    <xf numFmtId="202" fontId="1" fillId="0" borderId="0" xfId="282" applyNumberFormat="1" applyProtection="1">
      <alignment/>
      <protection/>
    </xf>
    <xf numFmtId="176" fontId="1" fillId="0" borderId="0" xfId="282" applyNumberFormat="1" applyProtection="1">
      <alignment/>
      <protection/>
    </xf>
    <xf numFmtId="199" fontId="1" fillId="0" borderId="0" xfId="282" applyNumberFormat="1" applyProtection="1">
      <alignment/>
      <protection/>
    </xf>
    <xf numFmtId="10" fontId="108" fillId="0" borderId="0" xfId="282" applyNumberFormat="1" applyFont="1" applyProtection="1">
      <alignment/>
      <protection/>
    </xf>
    <xf numFmtId="0" fontId="1" fillId="0" borderId="0" xfId="282" applyProtection="1">
      <alignment/>
      <protection/>
    </xf>
    <xf numFmtId="173" fontId="18" fillId="29" borderId="0" xfId="126" applyNumberFormat="1" applyFont="1" applyFill="1" applyAlignment="1" applyProtection="1">
      <alignment horizontal="right"/>
      <protection locked="0"/>
    </xf>
    <xf numFmtId="173" fontId="18" fillId="29" borderId="0" xfId="117" applyNumberFormat="1" applyFont="1" applyFill="1" applyAlignment="1" applyProtection="1">
      <alignment horizontal="right"/>
      <protection locked="0"/>
    </xf>
    <xf numFmtId="41" fontId="18" fillId="29" borderId="6" xfId="279" applyNumberFormat="1" applyFont="1" applyFill="1" applyBorder="1" applyAlignment="1" applyProtection="1">
      <alignment/>
      <protection locked="0"/>
    </xf>
    <xf numFmtId="173" fontId="18" fillId="29" borderId="0" xfId="117" applyNumberFormat="1" applyFont="1" applyFill="1" applyAlignment="1" applyProtection="1">
      <alignment horizontal="right"/>
      <protection locked="0"/>
    </xf>
    <xf numFmtId="173" fontId="18" fillId="29" borderId="0" xfId="117" applyNumberFormat="1" applyFont="1" applyFill="1" applyAlignment="1" applyProtection="1">
      <alignment horizontal="right"/>
      <protection locked="0"/>
    </xf>
    <xf numFmtId="173" fontId="18" fillId="29" borderId="6" xfId="117" applyNumberFormat="1" applyFont="1" applyFill="1" applyBorder="1" applyAlignment="1" applyProtection="1">
      <alignment horizontal="right"/>
      <protection locked="0"/>
    </xf>
    <xf numFmtId="173" fontId="8" fillId="29" borderId="0" xfId="104" applyNumberFormat="1" applyFont="1" applyFill="1" applyBorder="1" applyAlignment="1" applyProtection="1">
      <alignment horizontal="right"/>
      <protection locked="0"/>
    </xf>
    <xf numFmtId="0" fontId="0" fillId="0" borderId="0" xfId="275" applyFont="1">
      <alignment/>
      <protection/>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6" fillId="29" borderId="0" xfId="0" applyNumberFormat="1" applyFont="1" applyFill="1" applyAlignment="1" applyProtection="1">
      <alignment/>
      <protection locked="0"/>
    </xf>
    <xf numFmtId="37" fontId="116" fillId="29" borderId="0" xfId="0" applyNumberFormat="1" applyFont="1" applyFill="1" applyAlignment="1" applyProtection="1">
      <alignment/>
      <protection locked="0"/>
    </xf>
    <xf numFmtId="1" fontId="58" fillId="29" borderId="0" xfId="0" applyNumberFormat="1" applyFont="1" applyFill="1" applyAlignment="1" applyProtection="1" quotePrefix="1">
      <alignment horizontal="left"/>
      <protection locked="0"/>
    </xf>
    <xf numFmtId="1" fontId="58" fillId="29" borderId="0" xfId="0" applyNumberFormat="1" applyFont="1" applyFill="1" applyAlignment="1" applyProtection="1">
      <alignment horizontal="left"/>
      <protection locked="0"/>
    </xf>
    <xf numFmtId="0" fontId="0" fillId="0" borderId="0" xfId="0" applyFont="1" applyFill="1" applyAlignment="1">
      <alignment/>
    </xf>
    <xf numFmtId="0" fontId="0" fillId="26" borderId="0" xfId="0" applyFill="1" applyAlignment="1">
      <alignment/>
    </xf>
    <xf numFmtId="3" fontId="116" fillId="29" borderId="0" xfId="0" applyNumberFormat="1" applyFont="1" applyFill="1" applyAlignment="1" applyProtection="1">
      <alignment/>
      <protection locked="0"/>
    </xf>
    <xf numFmtId="37" fontId="116" fillId="29" borderId="0" xfId="0" applyNumberFormat="1" applyFont="1" applyFill="1" applyAlignment="1" applyProtection="1">
      <alignment/>
      <protection locked="0"/>
    </xf>
    <xf numFmtId="1" fontId="0" fillId="0" borderId="0" xfId="0" applyNumberFormat="1" applyFont="1" applyFill="1" applyAlignment="1" quotePrefix="1">
      <alignment horizontal="left"/>
    </xf>
    <xf numFmtId="1" fontId="0" fillId="0" borderId="0" xfId="0" applyNumberFormat="1" applyFont="1" applyFill="1" applyAlignment="1">
      <alignment horizontal="left"/>
    </xf>
    <xf numFmtId="1" fontId="0" fillId="26" borderId="0" xfId="0" applyNumberFormat="1" applyFont="1" applyFill="1" applyAlignment="1">
      <alignment horizontal="left"/>
    </xf>
    <xf numFmtId="0" fontId="0" fillId="26" borderId="0" xfId="0" applyFill="1" applyAlignment="1">
      <alignment/>
    </xf>
    <xf numFmtId="0" fontId="0" fillId="26" borderId="0" xfId="0" applyFont="1" applyFill="1" applyAlignment="1">
      <alignment/>
    </xf>
    <xf numFmtId="37" fontId="8" fillId="29" borderId="0" xfId="0" applyNumberFormat="1" applyFont="1" applyFill="1" applyAlignment="1" applyProtection="1">
      <alignment/>
      <protection locked="0"/>
    </xf>
    <xf numFmtId="173" fontId="0" fillId="0" borderId="0" xfId="0" applyNumberFormat="1" applyFill="1" applyAlignment="1" applyProtection="1">
      <alignment/>
      <protection/>
    </xf>
    <xf numFmtId="172" fontId="0" fillId="0" borderId="0" xfId="285" applyNumberFormat="1" applyFont="1" applyFill="1" applyAlignment="1" applyProtection="1">
      <alignment horizontal="center"/>
      <protection/>
    </xf>
    <xf numFmtId="0" fontId="0" fillId="0" borderId="0" xfId="285" applyFont="1" applyFill="1" applyProtection="1">
      <alignment/>
      <protection/>
    </xf>
    <xf numFmtId="173" fontId="8" fillId="29" borderId="0" xfId="128" applyNumberFormat="1" applyFont="1" applyFill="1" applyAlignment="1" applyProtection="1">
      <alignment/>
      <protection locked="0"/>
    </xf>
    <xf numFmtId="173" fontId="8" fillId="29" borderId="0" xfId="128" applyNumberFormat="1" applyFont="1" applyFill="1" applyAlignment="1" applyProtection="1">
      <alignment/>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0" fontId="18" fillId="29" borderId="0" xfId="275" applyFont="1" applyFill="1" applyAlignment="1" applyProtection="1">
      <alignment horizontal="center"/>
      <protection locked="0"/>
    </xf>
    <xf numFmtId="38" fontId="18" fillId="29" borderId="0" xfId="0" applyNumberFormat="1" applyFont="1" applyFill="1" applyBorder="1" applyAlignment="1" applyProtection="1">
      <alignment/>
      <protection locked="0"/>
    </xf>
    <xf numFmtId="37" fontId="153" fillId="29" borderId="0" xfId="0" applyNumberFormat="1" applyFont="1" applyFill="1" applyBorder="1" applyAlignment="1" applyProtection="1">
      <alignment/>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0" fontId="18" fillId="29" borderId="0" xfId="275"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0" fontId="18" fillId="29" borderId="0" xfId="275"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75" applyNumberFormat="1" applyFont="1" applyFill="1" applyBorder="1" applyProtection="1">
      <alignment/>
      <protection locked="0"/>
    </xf>
    <xf numFmtId="0" fontId="18" fillId="29" borderId="0" xfId="275" applyFont="1" applyFill="1" applyAlignment="1" applyProtection="1">
      <alignment horizontal="center"/>
      <protection locked="0"/>
    </xf>
    <xf numFmtId="41" fontId="18" fillId="29" borderId="11" xfId="275" applyNumberFormat="1" applyFont="1" applyFill="1" applyBorder="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18" fillId="29" borderId="0" xfId="181" applyNumberFormat="1" applyFont="1" applyFill="1" applyBorder="1" applyAlignment="1" applyProtection="1">
      <alignment/>
      <protection locked="0"/>
    </xf>
    <xf numFmtId="10" fontId="18" fillId="29" borderId="11" xfId="181" applyNumberFormat="1" applyFont="1" applyFill="1" applyBorder="1" applyAlignment="1" applyProtection="1">
      <alignment/>
      <protection locked="0"/>
    </xf>
    <xf numFmtId="10" fontId="72" fillId="29" borderId="11" xfId="291" applyNumberFormat="1" applyFont="1" applyFill="1" applyBorder="1" applyAlignment="1" applyProtection="1">
      <alignment/>
      <protection locked="0"/>
    </xf>
    <xf numFmtId="41" fontId="72" fillId="29" borderId="11" xfId="280" applyNumberFormat="1" applyFont="1" applyFill="1" applyBorder="1" applyProtection="1">
      <alignment/>
      <protection locked="0"/>
    </xf>
    <xf numFmtId="10" fontId="72" fillId="29" borderId="11" xfId="291" applyNumberFormat="1" applyFont="1" applyFill="1" applyBorder="1" applyAlignment="1" applyProtection="1">
      <alignment/>
      <protection locked="0"/>
    </xf>
    <xf numFmtId="10" fontId="72" fillId="29" borderId="11" xfId="291" applyNumberFormat="1" applyFont="1" applyFill="1" applyBorder="1" applyAlignment="1" applyProtection="1">
      <alignment/>
      <protection locked="0"/>
    </xf>
    <xf numFmtId="41" fontId="72" fillId="29" borderId="11" xfId="280" applyNumberFormat="1" applyFont="1" applyFill="1" applyBorder="1" applyProtection="1">
      <alignment/>
      <protection locked="0"/>
    </xf>
    <xf numFmtId="10" fontId="72" fillId="29" borderId="11" xfId="291" applyNumberFormat="1" applyFont="1" applyFill="1" applyBorder="1" applyAlignment="1" applyProtection="1">
      <alignment/>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72" fillId="29" borderId="0" xfId="280" applyNumberFormat="1" applyFont="1" applyFill="1" applyBorder="1" applyProtection="1">
      <alignment/>
      <protection locked="0"/>
    </xf>
    <xf numFmtId="0" fontId="66" fillId="29" borderId="0" xfId="280" applyFont="1" applyFill="1" applyAlignment="1" applyProtection="1">
      <alignment horizontal="center"/>
      <protection locked="0"/>
    </xf>
    <xf numFmtId="173" fontId="8" fillId="29" borderId="0" xfId="103" applyNumberFormat="1" applyFont="1" applyFill="1" applyBorder="1" applyAlignment="1" applyProtection="1">
      <alignment/>
      <protection locked="0"/>
    </xf>
    <xf numFmtId="173" fontId="8" fillId="29" borderId="0" xfId="103" applyNumberFormat="1" applyFont="1" applyFill="1" applyBorder="1" applyAlignment="1" applyProtection="1">
      <alignment/>
      <protection locked="0"/>
    </xf>
    <xf numFmtId="173" fontId="8" fillId="29" borderId="6" xfId="103" applyNumberFormat="1" applyFont="1" applyFill="1" applyBorder="1" applyAlignment="1" applyProtection="1">
      <alignment/>
      <protection locked="0"/>
    </xf>
    <xf numFmtId="0" fontId="8" fillId="29" borderId="0" xfId="271" applyFont="1" applyFill="1" applyProtection="1">
      <alignment/>
      <protection locked="0"/>
    </xf>
    <xf numFmtId="173" fontId="8" fillId="29" borderId="0" xfId="103" applyNumberFormat="1" applyFont="1" applyFill="1" applyBorder="1" applyAlignment="1" applyProtection="1">
      <alignment/>
      <protection locked="0"/>
    </xf>
    <xf numFmtId="37" fontId="8" fillId="29" borderId="0" xfId="271" applyNumberFormat="1" applyFont="1" applyFill="1" applyProtection="1">
      <alignment/>
      <protection locked="0"/>
    </xf>
    <xf numFmtId="173" fontId="79" fillId="29" borderId="0" xfId="103" applyNumberFormat="1" applyFont="1" applyFill="1" applyAlignment="1" applyProtection="1">
      <alignment/>
      <protection locked="0"/>
    </xf>
    <xf numFmtId="204" fontId="0" fillId="29" borderId="0" xfId="281" applyNumberFormat="1" applyFont="1" applyFill="1" applyAlignment="1" applyProtection="1">
      <alignment horizontal="center"/>
      <protection locked="0"/>
    </xf>
    <xf numFmtId="173" fontId="144"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173" fontId="144"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173" fontId="144" fillId="29" borderId="17" xfId="103" applyNumberFormat="1" applyFont="1" applyFill="1" applyBorder="1" applyAlignment="1" applyProtection="1">
      <alignment horizontal="right"/>
      <protection locked="0"/>
    </xf>
    <xf numFmtId="0" fontId="8" fillId="29" borderId="17" xfId="181" applyFont="1" applyFill="1" applyBorder="1" applyAlignment="1" applyProtection="1">
      <alignment horizontal="right"/>
      <protection locked="0"/>
    </xf>
    <xf numFmtId="173" fontId="8" fillId="29" borderId="17" xfId="103" applyNumberFormat="1" applyFont="1" applyFill="1" applyBorder="1" applyAlignment="1" applyProtection="1">
      <alignment horizontal="right"/>
      <protection locked="0"/>
    </xf>
    <xf numFmtId="0" fontId="72" fillId="29" borderId="0" xfId="280" applyNumberFormat="1" applyFont="1" applyFill="1" applyBorder="1" applyProtection="1">
      <alignment/>
      <protection locked="0"/>
    </xf>
    <xf numFmtId="173" fontId="8" fillId="26" borderId="0" xfId="104" applyNumberFormat="1" applyFont="1" applyFill="1" applyBorder="1" applyAlignment="1" applyProtection="1">
      <alignment horizontal="right"/>
      <protection locked="0"/>
    </xf>
    <xf numFmtId="0" fontId="8" fillId="26" borderId="0" xfId="104" applyNumberFormat="1" applyFont="1" applyFill="1" applyBorder="1" applyAlignment="1" applyProtection="1">
      <alignment horizontal="center"/>
      <protection locked="0"/>
    </xf>
    <xf numFmtId="0" fontId="0" fillId="29" borderId="0" xfId="227" applyFont="1" applyFill="1" applyBorder="1" applyAlignment="1" applyProtection="1">
      <alignment horizontal="center"/>
      <protection locked="0"/>
    </xf>
    <xf numFmtId="37" fontId="0" fillId="26" borderId="0" xfId="0" applyNumberFormat="1" applyFont="1" applyFill="1" applyAlignment="1">
      <alignment/>
    </xf>
    <xf numFmtId="41" fontId="8" fillId="26" borderId="0" xfId="269" applyNumberFormat="1" applyFont="1" applyFill="1" applyProtection="1">
      <alignment/>
      <protection locked="0"/>
    </xf>
    <xf numFmtId="41" fontId="8" fillId="31" borderId="0" xfId="269" applyNumberFormat="1" applyFont="1" applyFill="1" applyProtection="1">
      <alignment/>
      <protection locked="0"/>
    </xf>
    <xf numFmtId="3" fontId="0" fillId="26" borderId="0" xfId="0" applyNumberFormat="1" applyFont="1" applyFill="1" applyAlignment="1">
      <alignment/>
    </xf>
    <xf numFmtId="0" fontId="12" fillId="26" borderId="0" xfId="0" applyFont="1" applyFill="1" applyAlignment="1">
      <alignment horizontal="center"/>
    </xf>
    <xf numFmtId="0" fontId="0" fillId="31" borderId="0" xfId="0" applyFill="1" applyAlignment="1">
      <alignment/>
    </xf>
    <xf numFmtId="37" fontId="0" fillId="26" borderId="0" xfId="0" applyNumberFormat="1" applyFont="1" applyFill="1" applyBorder="1" applyAlignment="1">
      <alignment/>
    </xf>
    <xf numFmtId="37" fontId="0" fillId="26" borderId="0" xfId="0" applyNumberFormat="1" applyFont="1" applyFill="1" applyBorder="1" applyAlignment="1">
      <alignment/>
    </xf>
    <xf numFmtId="3" fontId="0" fillId="0" borderId="0" xfId="0" applyNumberFormat="1" applyFont="1" applyFill="1" applyBorder="1" applyAlignment="1">
      <alignment/>
    </xf>
    <xf numFmtId="37" fontId="0" fillId="0" borderId="0" xfId="0" applyNumberFormat="1" applyFont="1" applyFill="1" applyBorder="1" applyAlignment="1">
      <alignment/>
    </xf>
    <xf numFmtId="37" fontId="146" fillId="0" borderId="0" xfId="0" applyNumberFormat="1" applyFont="1" applyFill="1" applyBorder="1" applyAlignment="1">
      <alignment/>
    </xf>
    <xf numFmtId="37" fontId="0" fillId="0" borderId="48" xfId="0" applyNumberFormat="1" applyFont="1" applyFill="1" applyBorder="1" applyAlignment="1">
      <alignment/>
    </xf>
    <xf numFmtId="0" fontId="0" fillId="26" borderId="27" xfId="0" applyNumberFormat="1" applyFont="1" applyFill="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4" fillId="0" borderId="0" xfId="279" applyFont="1" applyFill="1" applyAlignment="1" applyProtection="1">
      <alignment vertical="top" wrapText="1"/>
      <protection/>
    </xf>
    <xf numFmtId="0" fontId="120" fillId="0" borderId="0" xfId="0" applyFont="1" applyFill="1" applyAlignment="1" applyProtection="1">
      <alignment vertical="top" wrapText="1"/>
      <protection/>
    </xf>
    <xf numFmtId="172" fontId="3" fillId="0" borderId="0" xfId="279" applyFont="1" applyFill="1" applyAlignment="1" applyProtection="1">
      <alignment wrapText="1"/>
      <protection/>
    </xf>
    <xf numFmtId="172" fontId="3" fillId="0" borderId="0" xfId="279"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9" applyFont="1" applyFill="1" applyAlignment="1" applyProtection="1">
      <alignment wrapText="1"/>
      <protection/>
    </xf>
    <xf numFmtId="0" fontId="0" fillId="0" borderId="0" xfId="0" applyFont="1" applyAlignment="1" applyProtection="1">
      <alignment wrapText="1"/>
      <protection/>
    </xf>
    <xf numFmtId="0" fontId="3" fillId="0" borderId="0" xfId="279" applyNumberFormat="1" applyFont="1" applyFill="1" applyAlignment="1" applyProtection="1">
      <alignment horizontal="left" wrapText="1"/>
      <protection/>
    </xf>
    <xf numFmtId="172" fontId="3" fillId="0" borderId="0" xfId="279" applyFont="1" applyFill="1" applyAlignment="1" applyProtection="1">
      <alignment horizontal="left" wrapText="1"/>
      <protection/>
    </xf>
    <xf numFmtId="172" fontId="3" fillId="0" borderId="0" xfId="279" applyFont="1" applyAlignment="1" applyProtection="1">
      <alignment horizontal="left" wrapText="1"/>
      <protection/>
    </xf>
    <xf numFmtId="172" fontId="3" fillId="0" borderId="0" xfId="279" applyFont="1" applyAlignment="1" applyProtection="1">
      <alignment horizontal="left"/>
      <protection/>
    </xf>
    <xf numFmtId="3" fontId="10" fillId="0" borderId="0" xfId="279" applyNumberFormat="1" applyFont="1" applyFill="1" applyAlignment="1" applyProtection="1">
      <alignment horizontal="center"/>
      <protection/>
    </xf>
    <xf numFmtId="3" fontId="3" fillId="0" borderId="0" xfId="279"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9" applyFont="1" applyAlignment="1" applyProtection="1">
      <alignment horizontal="left" wrapText="1"/>
      <protection/>
    </xf>
    <xf numFmtId="49" fontId="3" fillId="0" borderId="0" xfId="27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9" applyFont="1" applyBorder="1" applyAlignment="1" applyProtection="1">
      <alignment horizontal="center"/>
      <protection/>
    </xf>
    <xf numFmtId="0" fontId="3" fillId="0" borderId="0" xfId="279" applyNumberFormat="1" applyFont="1" applyFill="1" applyAlignment="1" applyProtection="1">
      <alignment horizontal="left" wrapText="1"/>
      <protection/>
    </xf>
    <xf numFmtId="0" fontId="3" fillId="0" borderId="0" xfId="279" applyNumberFormat="1" applyFont="1" applyFill="1" applyAlignment="1" applyProtection="1">
      <alignment horizontal="left" vertical="top" wrapText="1"/>
      <protection/>
    </xf>
    <xf numFmtId="172" fontId="3" fillId="0" borderId="0" xfId="279"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27" applyFont="1" applyBorder="1" applyAlignment="1">
      <alignment horizontal="center"/>
      <protection/>
    </xf>
    <xf numFmtId="0" fontId="9" fillId="0" borderId="49" xfId="283" applyFont="1" applyBorder="1" applyAlignment="1">
      <alignment horizontal="center" wrapText="1"/>
      <protection/>
    </xf>
    <xf numFmtId="0" fontId="9" fillId="0" borderId="13" xfId="283" applyFont="1" applyBorder="1" applyAlignment="1">
      <alignment horizontal="center" wrapText="1"/>
      <protection/>
    </xf>
    <xf numFmtId="0" fontId="9" fillId="0" borderId="50" xfId="283" applyFont="1" applyBorder="1" applyAlignment="1">
      <alignment horizontal="center" wrapText="1"/>
      <protection/>
    </xf>
    <xf numFmtId="0" fontId="9" fillId="0" borderId="49" xfId="205" applyFont="1" applyBorder="1" applyAlignment="1">
      <alignment horizontal="center"/>
      <protection/>
    </xf>
    <xf numFmtId="0" fontId="9" fillId="0" borderId="13" xfId="205" applyFont="1" applyBorder="1" applyAlignment="1">
      <alignment horizontal="center"/>
      <protection/>
    </xf>
    <xf numFmtId="0" fontId="9" fillId="0" borderId="50" xfId="205" applyFont="1" applyBorder="1" applyAlignment="1">
      <alignment horizontal="center"/>
      <protection/>
    </xf>
    <xf numFmtId="3" fontId="3" fillId="0" borderId="0" xfId="227" applyNumberFormat="1" applyFont="1" applyBorder="1" applyAlignment="1">
      <alignment horizontal="center"/>
      <protection/>
    </xf>
    <xf numFmtId="0" fontId="0" fillId="0" borderId="0" xfId="227" applyFont="1" applyFill="1" applyBorder="1" applyAlignment="1">
      <alignment horizontal="left" wrapText="1"/>
      <protection/>
    </xf>
    <xf numFmtId="0" fontId="16" fillId="0" borderId="0" xfId="269"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7" applyFont="1" applyBorder="1" applyAlignment="1" quotePrefix="1">
      <alignment horizontal="center" wrapText="1"/>
      <protection/>
    </xf>
    <xf numFmtId="0" fontId="16" fillId="0" borderId="0" xfId="269" applyFont="1" applyBorder="1" applyAlignment="1">
      <alignment horizontal="center" wrapText="1"/>
      <protection/>
    </xf>
    <xf numFmtId="0" fontId="12" fillId="0" borderId="0" xfId="0" applyFont="1" applyBorder="1" applyAlignment="1">
      <alignment horizontal="center" wrapText="1"/>
    </xf>
    <xf numFmtId="0" fontId="0" fillId="0" borderId="0" xfId="227" applyNumberFormat="1" applyFont="1" applyFill="1" applyBorder="1" applyAlignment="1">
      <alignment horizontal="left" wrapText="1"/>
      <protection/>
    </xf>
    <xf numFmtId="0" fontId="75" fillId="0" borderId="0" xfId="227" applyNumberFormat="1" applyFont="1" applyFill="1" applyBorder="1" applyAlignment="1">
      <alignment horizontal="center"/>
      <protection/>
    </xf>
    <xf numFmtId="0" fontId="75" fillId="0" borderId="0" xfId="269" applyFont="1" applyFill="1" applyAlignment="1">
      <alignment horizontal="center"/>
      <protection/>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9" applyFont="1" applyFill="1" applyAlignment="1" applyProtection="1">
      <alignment horizontal="left" vertical="top" wrapText="1"/>
      <protection/>
    </xf>
    <xf numFmtId="0" fontId="9" fillId="0" borderId="0" xfId="28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4"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0" applyFont="1" applyBorder="1" applyAlignment="1">
      <alignment horizontal="center"/>
      <protection/>
    </xf>
    <xf numFmtId="0" fontId="66" fillId="0" borderId="0" xfId="280" applyFont="1" applyFill="1" applyAlignment="1">
      <alignment horizontal="left" wrapText="1"/>
      <protection/>
    </xf>
    <xf numFmtId="0" fontId="66" fillId="0" borderId="0" xfId="280" applyFont="1" applyFill="1" applyAlignment="1">
      <alignment wrapText="1"/>
      <protection/>
    </xf>
    <xf numFmtId="0" fontId="2" fillId="0" borderId="0" xfId="227" applyFont="1" applyBorder="1" applyAlignment="1">
      <alignment horizontal="center"/>
      <protection/>
    </xf>
    <xf numFmtId="0" fontId="2" fillId="0" borderId="0" xfId="0" applyFont="1" applyAlignment="1">
      <alignment horizontal="center"/>
    </xf>
    <xf numFmtId="0" fontId="64" fillId="29"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0" xfId="279" applyFont="1" applyBorder="1" applyAlignment="1" applyProtection="1">
      <alignment wrapText="1"/>
      <protection/>
    </xf>
    <xf numFmtId="0" fontId="0" fillId="0" borderId="15" xfId="0" applyFont="1" applyBorder="1" applyAlignment="1" applyProtection="1">
      <alignment wrapText="1"/>
      <protection/>
    </xf>
    <xf numFmtId="0" fontId="0" fillId="0" borderId="21"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Border="1" applyAlignment="1" applyProtection="1">
      <alignment wrapText="1"/>
      <protection/>
    </xf>
    <xf numFmtId="0" fontId="0" fillId="0" borderId="17" xfId="0" applyFont="1" applyBorder="1" applyAlignment="1" applyProtection="1">
      <alignment wrapText="1"/>
      <protection/>
    </xf>
    <xf numFmtId="0" fontId="2" fillId="0" borderId="0" xfId="0" applyFont="1" applyFill="1" applyAlignment="1" applyProtection="1">
      <alignment wrapText="1"/>
      <protection/>
    </xf>
    <xf numFmtId="0" fontId="64" fillId="29" borderId="0" xfId="0" applyFont="1" applyFill="1" applyAlignment="1" applyProtection="1">
      <alignment horizontal="left" vertical="top" wrapText="1"/>
      <protection locked="0"/>
    </xf>
    <xf numFmtId="0" fontId="0" fillId="29" borderId="0" xfId="0" applyFill="1" applyAlignment="1" applyProtection="1">
      <alignment vertical="top" wrapText="1"/>
      <protection locked="0"/>
    </xf>
    <xf numFmtId="0" fontId="0" fillId="0" borderId="0" xfId="0" applyFont="1" applyFill="1" applyBorder="1" applyAlignment="1" applyProtection="1">
      <alignment wrapText="1"/>
      <protection/>
    </xf>
    <xf numFmtId="0" fontId="64" fillId="29" borderId="0" xfId="181" applyFont="1" applyFill="1" applyAlignment="1" applyProtection="1">
      <alignment horizontal="left" vertical="top" wrapText="1"/>
      <protection locked="0"/>
    </xf>
    <xf numFmtId="0" fontId="0" fillId="29" borderId="0" xfId="181" applyFill="1" applyAlignment="1" applyProtection="1">
      <alignment vertical="top" wrapText="1"/>
      <protection locked="0"/>
    </xf>
    <xf numFmtId="0" fontId="0" fillId="0" borderId="0" xfId="272" applyFont="1" applyFill="1" applyAlignment="1" applyProtection="1">
      <alignment horizontal="left" wrapText="1"/>
      <protection/>
    </xf>
    <xf numFmtId="0" fontId="0" fillId="0" borderId="0" xfId="199" applyFont="1" applyFill="1" applyAlignment="1" applyProtection="1">
      <alignment wrapText="1"/>
      <protection/>
    </xf>
    <xf numFmtId="0" fontId="86" fillId="0" borderId="0" xfId="272"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2" applyNumberFormat="1" applyFont="1" applyFill="1" applyBorder="1" applyAlignment="1" applyProtection="1">
      <alignment horizontal="center" wrapText="1"/>
      <protection/>
    </xf>
    <xf numFmtId="0" fontId="9" fillId="0" borderId="49" xfId="0" applyFont="1" applyBorder="1" applyAlignment="1">
      <alignment horizontal="center"/>
    </xf>
    <xf numFmtId="0" fontId="9" fillId="0" borderId="13" xfId="0" applyFont="1" applyBorder="1" applyAlignment="1">
      <alignment horizontal="center"/>
    </xf>
    <xf numFmtId="0" fontId="9" fillId="0" borderId="50"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6" fillId="0" borderId="0" xfId="0" applyFont="1" applyAlignment="1">
      <alignment wrapText="1"/>
    </xf>
    <xf numFmtId="0" fontId="126" fillId="0" borderId="0" xfId="0" applyFont="1" applyFill="1" applyAlignment="1">
      <alignment horizontal="left" wrapText="1"/>
    </xf>
    <xf numFmtId="0" fontId="128" fillId="0" borderId="0" xfId="0" applyFont="1" applyAlignment="1">
      <alignment horizontal="center"/>
    </xf>
    <xf numFmtId="0" fontId="128" fillId="0" borderId="0" xfId="0" applyFont="1" applyAlignment="1">
      <alignment horizontal="center" wrapText="1"/>
    </xf>
    <xf numFmtId="173" fontId="128" fillId="0" borderId="0" xfId="124" applyNumberFormat="1" applyFont="1" applyAlignment="1">
      <alignment horizontal="center" wrapText="1"/>
    </xf>
    <xf numFmtId="0" fontId="124" fillId="0" borderId="0" xfId="0" applyFont="1" applyAlignment="1">
      <alignment horizontal="center"/>
    </xf>
    <xf numFmtId="0" fontId="124" fillId="0" borderId="0" xfId="227" applyFont="1" applyBorder="1" applyAlignment="1">
      <alignment horizontal="center"/>
      <protection/>
    </xf>
    <xf numFmtId="0" fontId="126" fillId="0" borderId="0" xfId="0" applyFont="1" applyAlignment="1">
      <alignment horizontal="center"/>
    </xf>
    <xf numFmtId="0" fontId="124" fillId="0" borderId="0" xfId="227" applyFont="1" applyFill="1" applyBorder="1" applyAlignment="1">
      <alignment horizontal="center"/>
      <protection/>
    </xf>
    <xf numFmtId="3" fontId="124" fillId="0" borderId="0" xfId="0" applyNumberFormat="1" applyFont="1" applyAlignment="1">
      <alignment horizontal="center"/>
    </xf>
    <xf numFmtId="0" fontId="134" fillId="0" borderId="0" xfId="0" applyFont="1" applyAlignment="1">
      <alignment horizontal="left" wrapText="1"/>
    </xf>
    <xf numFmtId="0" fontId="101" fillId="0" borderId="0" xfId="282" applyFont="1" applyAlignment="1">
      <alignment horizontal="center"/>
      <protection/>
    </xf>
    <xf numFmtId="0" fontId="3" fillId="0" borderId="0" xfId="278" applyFont="1" applyAlignment="1">
      <alignment vertical="top" wrapText="1"/>
      <protection/>
    </xf>
    <xf numFmtId="0" fontId="3" fillId="0" borderId="0" xfId="181" applyFont="1" applyAlignment="1">
      <alignment wrapText="1"/>
      <protection/>
    </xf>
    <xf numFmtId="44" fontId="101" fillId="0" borderId="0" xfId="132" applyFont="1" applyAlignment="1">
      <alignment horizontal="center"/>
    </xf>
    <xf numFmtId="0" fontId="71" fillId="0" borderId="47" xfId="282" applyFont="1" applyBorder="1" applyAlignment="1">
      <alignment horizontal="center"/>
      <protection/>
    </xf>
    <xf numFmtId="0" fontId="71" fillId="0" borderId="0" xfId="181" applyFont="1" applyAlignment="1">
      <alignment vertical="top" wrapText="1"/>
      <protection/>
    </xf>
    <xf numFmtId="0" fontId="0" fillId="0" borderId="0" xfId="18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7" xfId="115"/>
    <cellStyle name="Comma 3 8" xfId="116"/>
    <cellStyle name="Comma 3 9" xfId="117"/>
    <cellStyle name="Comma 4" xfId="118"/>
    <cellStyle name="Comma 4 2" xfId="119"/>
    <cellStyle name="Comma 5" xfId="120"/>
    <cellStyle name="Comma 6" xfId="121"/>
    <cellStyle name="Comma 6 2" xfId="122"/>
    <cellStyle name="Comma 6 3" xfId="123"/>
    <cellStyle name="Comma 7" xfId="124"/>
    <cellStyle name="Comma 8" xfId="125"/>
    <cellStyle name="Comma 9" xfId="126"/>
    <cellStyle name="Comma_spp calc - revsd rev crd" xfId="127"/>
    <cellStyle name="Comma_spp calc - revsd rev crd 2" xfId="128"/>
    <cellStyle name="Comma0" xfId="129"/>
    <cellStyle name="Currency" xfId="130"/>
    <cellStyle name="Currency [0]" xfId="131"/>
    <cellStyle name="Currency 2" xfId="132"/>
    <cellStyle name="Currency 2 2" xfId="133"/>
    <cellStyle name="Currency 3"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7" xfId="144"/>
    <cellStyle name="Currency 3 8" xfId="145"/>
    <cellStyle name="Currency 4" xfId="146"/>
    <cellStyle name="Currency 4 2" xfId="147"/>
    <cellStyle name="Currency 5" xfId="148"/>
    <cellStyle name="Currency 6" xfId="149"/>
    <cellStyle name="Currency 7" xfId="150"/>
    <cellStyle name="Currency 8" xfId="151"/>
    <cellStyle name="Currency0" xfId="152"/>
    <cellStyle name="Date" xfId="153"/>
    <cellStyle name="Explanatory Text" xfId="154"/>
    <cellStyle name="Explanatory Text 2" xfId="155"/>
    <cellStyle name="Fixed" xfId="156"/>
    <cellStyle name="Followed Hyperlink" xfId="157"/>
    <cellStyle name="Good" xfId="158"/>
    <cellStyle name="Good 2"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1" xfId="168"/>
    <cellStyle name="Heading2" xfId="169"/>
    <cellStyle name="Hyperlink" xfId="170"/>
    <cellStyle name="Input" xfId="171"/>
    <cellStyle name="Input 2" xfId="172"/>
    <cellStyle name="Linked Cell" xfId="173"/>
    <cellStyle name="Linked Cell 2" xfId="174"/>
    <cellStyle name="Neutral" xfId="175"/>
    <cellStyle name="Neutral 2" xfId="176"/>
    <cellStyle name="Normal 10" xfId="177"/>
    <cellStyle name="Normal 10 2" xfId="178"/>
    <cellStyle name="Normal 10 3" xfId="179"/>
    <cellStyle name="Normal 11" xfId="180"/>
    <cellStyle name="Normal 11 2" xfId="181"/>
    <cellStyle name="Normal 11 3" xfId="182"/>
    <cellStyle name="Normal 12" xfId="183"/>
    <cellStyle name="Normal 12 2" xfId="184"/>
    <cellStyle name="Normal 12 4" xfId="185"/>
    <cellStyle name="Normal 13" xfId="186"/>
    <cellStyle name="Normal 13 2" xfId="187"/>
    <cellStyle name="Normal 14" xfId="188"/>
    <cellStyle name="Normal 14 2" xfId="189"/>
    <cellStyle name="Normal 15" xfId="190"/>
    <cellStyle name="Normal 16" xfId="191"/>
    <cellStyle name="Normal 16 2" xfId="192"/>
    <cellStyle name="Normal 17" xfId="193"/>
    <cellStyle name="Normal 17 2" xfId="194"/>
    <cellStyle name="Normal 18" xfId="195"/>
    <cellStyle name="Normal 18 2" xfId="196"/>
    <cellStyle name="Normal 19" xfId="197"/>
    <cellStyle name="Normal 19 2" xfId="198"/>
    <cellStyle name="Normal 2" xfId="199"/>
    <cellStyle name="Normal 2 2" xfId="200"/>
    <cellStyle name="Normal 2 2 2" xfId="201"/>
    <cellStyle name="Normal 2 2 3" xfId="202"/>
    <cellStyle name="Normal 2 2 4" xfId="203"/>
    <cellStyle name="Normal 2 3" xfId="204"/>
    <cellStyle name="Normal 2 5" xfId="205"/>
    <cellStyle name="Normal 2 5 2" xfId="206"/>
    <cellStyle name="Normal 20" xfId="207"/>
    <cellStyle name="Normal 20 2" xfId="208"/>
    <cellStyle name="Normal 21" xfId="209"/>
    <cellStyle name="Normal 21 2" xfId="210"/>
    <cellStyle name="Normal 22" xfId="211"/>
    <cellStyle name="Normal 22 2" xfId="212"/>
    <cellStyle name="Normal 23" xfId="213"/>
    <cellStyle name="Normal 23 2" xfId="214"/>
    <cellStyle name="Normal 24" xfId="215"/>
    <cellStyle name="Normal 24 2" xfId="216"/>
    <cellStyle name="Normal 25" xfId="217"/>
    <cellStyle name="Normal 25 2" xfId="218"/>
    <cellStyle name="Normal 26" xfId="219"/>
    <cellStyle name="Normal 26 2" xfId="220"/>
    <cellStyle name="Normal 27" xfId="221"/>
    <cellStyle name="Normal 28" xfId="222"/>
    <cellStyle name="Normal 28 2" xfId="223"/>
    <cellStyle name="Normal 29" xfId="224"/>
    <cellStyle name="Normal 29 2" xfId="225"/>
    <cellStyle name="Normal 3" xfId="226"/>
    <cellStyle name="Normal 3 2" xfId="227"/>
    <cellStyle name="Normal 3 3" xfId="228"/>
    <cellStyle name="Normal 3_Attach O, GG, Support -New Method 2-14-11" xfId="229"/>
    <cellStyle name="Normal 30" xfId="230"/>
    <cellStyle name="Normal 31" xfId="231"/>
    <cellStyle name="Normal 32" xfId="232"/>
    <cellStyle name="Normal 4" xfId="233"/>
    <cellStyle name="Normal 4 2" xfId="234"/>
    <cellStyle name="Normal 4 3" xfId="235"/>
    <cellStyle name="Normal 4 3 2" xfId="236"/>
    <cellStyle name="Normal 4 3 3" xfId="237"/>
    <cellStyle name="Normal 4 4" xfId="238"/>
    <cellStyle name="Normal 4 4 2" xfId="239"/>
    <cellStyle name="Normal 4 4 3" xfId="240"/>
    <cellStyle name="Normal 4 5" xfId="241"/>
    <cellStyle name="Normal 4 6" xfId="242"/>
    <cellStyle name="Normal 4 7" xfId="243"/>
    <cellStyle name="Normal 4 8" xfId="244"/>
    <cellStyle name="Normal 4 9"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7" xfId="259"/>
    <cellStyle name="Normal 7 2" xfId="260"/>
    <cellStyle name="Normal 7 3" xfId="261"/>
    <cellStyle name="Normal 8" xfId="262"/>
    <cellStyle name="Normal 8 2" xfId="263"/>
    <cellStyle name="Normal 8 3" xfId="264"/>
    <cellStyle name="Normal 9" xfId="265"/>
    <cellStyle name="Normal 9 2" xfId="266"/>
    <cellStyle name="Normal 9 3" xfId="267"/>
    <cellStyle name="Normal_21 Exh B" xfId="268"/>
    <cellStyle name="Normal_ADITAnalysisID090805" xfId="269"/>
    <cellStyle name="Normal_ADITAnalysisID090805 2" xfId="270"/>
    <cellStyle name="Normal_ADITAnalysisID090805 2 2" xfId="271"/>
    <cellStyle name="Normal_ADITAnalysisID090805 2 2 2" xfId="272"/>
    <cellStyle name="Normal_ADITAnalysisID090805 3" xfId="273"/>
    <cellStyle name="Normal_ADITAnalysisID090805 4" xfId="274"/>
    <cellStyle name="Normal_ADITAnalysisID090805 5" xfId="275"/>
    <cellStyle name="Normal_ATC Projected 2008 Monthly Plant Balances for Attachment O 2 (2)" xfId="276"/>
    <cellStyle name="Normal_AU Period 2 Rev 4-27-00" xfId="277"/>
    <cellStyle name="Normal_DeprRateAuth East Dave Davis 2 2" xfId="278"/>
    <cellStyle name="Normal_FN1 Ratebase Draft SPP template (6-11-04) v2" xfId="279"/>
    <cellStyle name="Normal_I&amp;M-AK-1" xfId="280"/>
    <cellStyle name="Normal_IM LTD Hedge Entries 2" xfId="281"/>
    <cellStyle name="Normal_Revised 1-21-10  Deprec Summary" xfId="282"/>
    <cellStyle name="Normal_Schedule O Info for Mike" xfId="283"/>
    <cellStyle name="Normal_spp calc - revsd rev crd" xfId="284"/>
    <cellStyle name="Normal_spp calc - revsd rev crd 2" xfId="285"/>
    <cellStyle name="Note" xfId="286"/>
    <cellStyle name="Note 2" xfId="287"/>
    <cellStyle name="Output" xfId="288"/>
    <cellStyle name="Output 2" xfId="289"/>
    <cellStyle name="Percent" xfId="290"/>
    <cellStyle name="Percent 2" xfId="291"/>
    <cellStyle name="Percent 2 2" xfId="292"/>
    <cellStyle name="Percent 3" xfId="293"/>
    <cellStyle name="Percent 3 2" xfId="294"/>
    <cellStyle name="Percent 3 3" xfId="295"/>
    <cellStyle name="Percent 3 3 2" xfId="296"/>
    <cellStyle name="Percent 3 3 3" xfId="297"/>
    <cellStyle name="Percent 3 4" xfId="298"/>
    <cellStyle name="Percent 3 4 2" xfId="299"/>
    <cellStyle name="Percent 3 4 3" xfId="300"/>
    <cellStyle name="Percent 3 5" xfId="301"/>
    <cellStyle name="Percent 3 6" xfId="302"/>
    <cellStyle name="Percent 3 7" xfId="303"/>
    <cellStyle name="Percent 3 8" xfId="304"/>
    <cellStyle name="Percent 4" xfId="305"/>
    <cellStyle name="Percent 4 2" xfId="306"/>
    <cellStyle name="Percent 4 3" xfId="307"/>
    <cellStyle name="Percent 5" xfId="308"/>
    <cellStyle name="Percent 6" xfId="309"/>
    <cellStyle name="Percent 7" xfId="310"/>
    <cellStyle name="Percent 8" xfId="311"/>
    <cellStyle name="Percent 9"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11">
    <dxf>
      <font>
        <color auto="1"/>
      </font>
      <fill>
        <patternFill>
          <bgColor indexed="35"/>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5%20Actual%202016%20Forecasted%20FR%20Update\Templates\3_Indiana%20Michigan%20Power%20FR%20Update%20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6%20Actual%20(ATRR)\Templates\3_Indiana%20Michigan%20Power%20FR%20Updat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H-1-Detail of Tax Amt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 val="I &amp; M-WS P Dep. Ra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H-1-Detail of Tax Amt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 val="I &amp; M-WS P Dep. R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B1:U1247"/>
  <sheetViews>
    <sheetView tabSelected="1" zoomScale="70" zoomScaleNormal="70" zoomScaleSheetLayoutView="75" zoomScalePageLayoutView="50" workbookViewId="0" topLeftCell="A1">
      <selection activeCell="A1" sqref="A1"/>
    </sheetView>
  </sheetViews>
  <sheetFormatPr defaultColWidth="11.421875" defaultRowHeight="12.75"/>
  <cols>
    <col min="1" max="1" width="4.7109375" style="313" customWidth="1"/>
    <col min="2" max="2" width="7.8515625" style="312" customWidth="1"/>
    <col min="3" max="3" width="1.8515625" style="313" customWidth="1"/>
    <col min="4" max="4" width="70.140625" style="313" customWidth="1"/>
    <col min="5" max="5" width="25.7109375" style="313" customWidth="1"/>
    <col min="6" max="6" width="22.28125" style="313" customWidth="1"/>
    <col min="7" max="7" width="20.7109375" style="313" customWidth="1"/>
    <col min="8" max="8" width="16.140625" style="313" customWidth="1"/>
    <col min="9" max="9" width="11.28125" style="313" customWidth="1"/>
    <col min="10" max="10" width="21.57421875" style="313" bestFit="1" customWidth="1"/>
    <col min="11" max="11" width="4.7109375" style="313" customWidth="1"/>
    <col min="12" max="12" width="23.00390625" style="313" customWidth="1"/>
    <col min="13" max="13" width="5.00390625" style="313" customWidth="1"/>
    <col min="14" max="14" width="31.140625" style="313" customWidth="1"/>
    <col min="15" max="15" width="8.140625" style="313" customWidth="1"/>
    <col min="16" max="16" width="21.8515625" style="313" customWidth="1"/>
    <col min="17" max="17" width="11.421875" style="313" customWidth="1"/>
    <col min="18" max="18" width="20.57421875" style="313" bestFit="1" customWidth="1"/>
    <col min="19" max="16384" width="11.421875" style="313" customWidth="1"/>
  </cols>
  <sheetData>
    <row r="1" spans="4:12" ht="15.75">
      <c r="D1" s="314"/>
      <c r="E1" s="315"/>
      <c r="F1" s="315"/>
      <c r="G1" s="316"/>
      <c r="I1" s="317"/>
      <c r="J1" s="317"/>
      <c r="K1" s="317"/>
      <c r="L1" s="318"/>
    </row>
    <row r="2" spans="10:12" ht="15">
      <c r="J2" s="313" t="s">
        <v>767</v>
      </c>
      <c r="L2" s="831">
        <v>2017</v>
      </c>
    </row>
    <row r="3" spans="4:15" ht="15">
      <c r="D3" s="319"/>
      <c r="E3" s="319"/>
      <c r="F3" s="320" t="s">
        <v>387</v>
      </c>
      <c r="G3" s="321"/>
      <c r="H3" s="321"/>
      <c r="J3" s="319"/>
      <c r="K3" s="322"/>
      <c r="L3" s="322"/>
      <c r="M3" s="323"/>
      <c r="O3" s="324"/>
    </row>
    <row r="4" spans="4:13" ht="15">
      <c r="D4" s="319"/>
      <c r="E4" s="325"/>
      <c r="F4" s="320" t="s">
        <v>388</v>
      </c>
      <c r="G4" s="321"/>
      <c r="H4" s="321"/>
      <c r="J4" s="325"/>
      <c r="K4" s="322"/>
      <c r="L4" s="322"/>
      <c r="M4" s="323"/>
    </row>
    <row r="5" spans="4:13" ht="15">
      <c r="D5" s="322"/>
      <c r="E5" s="322"/>
      <c r="F5" s="326" t="str">
        <f>"Utilizing  Actual/Projected FERC Form 1 Data"</f>
        <v>Utilizing  Actual/Projected FERC Form 1 Data</v>
      </c>
      <c r="G5" s="321"/>
      <c r="H5" s="321"/>
      <c r="J5" s="322"/>
      <c r="K5" s="322"/>
      <c r="L5" s="322"/>
      <c r="M5" s="323"/>
    </row>
    <row r="6" spans="2:13" ht="15">
      <c r="B6" s="327"/>
      <c r="C6" s="328"/>
      <c r="D6" s="322"/>
      <c r="H6" s="329"/>
      <c r="I6" s="329"/>
      <c r="J6" s="329"/>
      <c r="K6" s="329"/>
      <c r="L6" s="322"/>
      <c r="M6" s="322"/>
    </row>
    <row r="7" spans="2:13" ht="15.75">
      <c r="B7" s="327"/>
      <c r="C7" s="328"/>
      <c r="D7" s="330"/>
      <c r="E7" s="322"/>
      <c r="F7" s="331" t="s">
        <v>881</v>
      </c>
      <c r="G7" s="332"/>
      <c r="H7" s="322"/>
      <c r="I7" s="322"/>
      <c r="J7" s="322"/>
      <c r="K7" s="322"/>
      <c r="L7" s="330"/>
      <c r="M7" s="322"/>
    </row>
    <row r="8" spans="2:13" ht="15">
      <c r="B8" s="327"/>
      <c r="C8" s="328"/>
      <c r="D8" s="322"/>
      <c r="E8" s="322"/>
      <c r="F8" s="333"/>
      <c r="G8" s="332"/>
      <c r="H8" s="322"/>
      <c r="I8" s="322"/>
      <c r="J8" s="322"/>
      <c r="K8" s="322"/>
      <c r="L8" s="330"/>
      <c r="M8" s="322"/>
    </row>
    <row r="9" spans="2:13" ht="15">
      <c r="B9" s="327" t="s">
        <v>171</v>
      </c>
      <c r="C9" s="328"/>
      <c r="D9" s="322"/>
      <c r="E9" s="322"/>
      <c r="F9" s="322"/>
      <c r="G9" s="332"/>
      <c r="H9" s="322"/>
      <c r="I9" s="322"/>
      <c r="J9" s="322"/>
      <c r="K9" s="322"/>
      <c r="L9" s="328" t="s">
        <v>117</v>
      </c>
      <c r="M9" s="322"/>
    </row>
    <row r="10" spans="2:13" ht="15.75" thickBot="1">
      <c r="B10" s="334" t="s">
        <v>119</v>
      </c>
      <c r="C10" s="335"/>
      <c r="D10" s="322"/>
      <c r="E10" s="335"/>
      <c r="F10" s="322"/>
      <c r="G10" s="322"/>
      <c r="H10" s="322"/>
      <c r="I10" s="322"/>
      <c r="J10" s="322"/>
      <c r="K10" s="322"/>
      <c r="L10" s="336" t="s">
        <v>172</v>
      </c>
      <c r="M10" s="322"/>
    </row>
    <row r="11" spans="2:13" ht="15">
      <c r="B11" s="327">
        <f>1</f>
        <v>1</v>
      </c>
      <c r="C11" s="328"/>
      <c r="D11" s="337" t="s">
        <v>113</v>
      </c>
      <c r="E11" s="338" t="str">
        <f>"(ln "&amp;B211&amp;")"</f>
        <v>(ln 130)</v>
      </c>
      <c r="F11" s="338"/>
      <c r="G11" s="339"/>
      <c r="H11" s="340"/>
      <c r="I11" s="322"/>
      <c r="J11" s="322"/>
      <c r="K11" s="322"/>
      <c r="L11" s="341">
        <f>+L211</f>
        <v>140896973.35194162</v>
      </c>
      <c r="M11" s="322"/>
    </row>
    <row r="12" spans="2:13" ht="15.75" thickBot="1">
      <c r="B12" s="327"/>
      <c r="C12" s="328"/>
      <c r="E12" s="342"/>
      <c r="F12" s="343"/>
      <c r="G12" s="336" t="s">
        <v>120</v>
      </c>
      <c r="H12" s="325"/>
      <c r="I12" s="344" t="s">
        <v>121</v>
      </c>
      <c r="J12" s="344"/>
      <c r="K12" s="322"/>
      <c r="L12" s="339"/>
      <c r="M12" s="322"/>
    </row>
    <row r="13" spans="2:13" ht="15">
      <c r="B13" s="327">
        <f>+B11+1</f>
        <v>2</v>
      </c>
      <c r="C13" s="328"/>
      <c r="D13" s="345" t="s">
        <v>170</v>
      </c>
      <c r="E13" s="342" t="s">
        <v>607</v>
      </c>
      <c r="F13" s="343"/>
      <c r="G13" s="346">
        <f>+'I&amp;M WS E Rev Credits'!K29</f>
        <v>2238958.47</v>
      </c>
      <c r="H13" s="343"/>
      <c r="I13" s="347" t="s">
        <v>131</v>
      </c>
      <c r="J13" s="348">
        <v>1</v>
      </c>
      <c r="K13" s="325"/>
      <c r="L13" s="349">
        <f>+J13*G13</f>
        <v>2238958.47</v>
      </c>
      <c r="M13" s="322"/>
    </row>
    <row r="14" spans="2:13" ht="15">
      <c r="B14" s="327"/>
      <c r="C14" s="328"/>
      <c r="D14" s="345"/>
      <c r="F14" s="325"/>
      <c r="L14" s="350"/>
      <c r="M14" s="322"/>
    </row>
    <row r="15" spans="2:13" ht="15">
      <c r="B15" s="327"/>
      <c r="C15" s="328"/>
      <c r="D15" s="345"/>
      <c r="F15" s="325"/>
      <c r="L15" s="351"/>
      <c r="M15" s="322"/>
    </row>
    <row r="16" spans="2:13" ht="15">
      <c r="B16" s="327">
        <f>+B13+1</f>
        <v>3</v>
      </c>
      <c r="C16" s="328"/>
      <c r="D16" s="345" t="s">
        <v>538</v>
      </c>
      <c r="E16" s="313" t="s">
        <v>608</v>
      </c>
      <c r="F16" s="325"/>
      <c r="L16" s="349">
        <f>'I&amp;M WS E Rev Credits'!K37</f>
        <v>0</v>
      </c>
      <c r="M16" s="322"/>
    </row>
    <row r="17" spans="2:13" ht="15">
      <c r="B17" s="327"/>
      <c r="C17" s="328"/>
      <c r="D17" s="345"/>
      <c r="F17" s="325"/>
      <c r="L17" s="351"/>
      <c r="M17" s="322"/>
    </row>
    <row r="18" spans="2:13" ht="15.75" thickBot="1">
      <c r="B18" s="352">
        <f>+B16+1</f>
        <v>4</v>
      </c>
      <c r="C18" s="353"/>
      <c r="D18" s="354" t="s">
        <v>466</v>
      </c>
      <c r="E18" s="355" t="str">
        <f>"(ln "&amp;B11&amp;" less  ln "&amp;B13&amp;" plus ln "&amp;B16&amp;")"</f>
        <v>(ln 1 less  ln 2 plus ln 3)</v>
      </c>
      <c r="F18" s="322"/>
      <c r="H18" s="325"/>
      <c r="I18" s="356"/>
      <c r="J18" s="325"/>
      <c r="K18" s="325"/>
      <c r="L18" s="357">
        <f>+L11-L13+L16</f>
        <v>138658014.88194162</v>
      </c>
      <c r="M18" s="322"/>
    </row>
    <row r="19" spans="2:13" ht="15.75" thickTop="1">
      <c r="B19" s="352"/>
      <c r="C19" s="353"/>
      <c r="D19" s="354"/>
      <c r="E19" s="355"/>
      <c r="F19" s="322"/>
      <c r="H19" s="325"/>
      <c r="I19" s="356"/>
      <c r="J19" s="325"/>
      <c r="K19" s="325"/>
      <c r="L19" s="349"/>
      <c r="M19" s="322"/>
    </row>
    <row r="20" spans="2:13" ht="15">
      <c r="B20" s="352"/>
      <c r="C20" s="353"/>
      <c r="D20" s="354"/>
      <c r="E20" s="355"/>
      <c r="F20" s="322"/>
      <c r="H20" s="325"/>
      <c r="I20" s="356"/>
      <c r="J20" s="325"/>
      <c r="K20" s="325"/>
      <c r="L20" s="349"/>
      <c r="M20" s="322"/>
    </row>
    <row r="21" spans="2:13" ht="15">
      <c r="B21" s="352"/>
      <c r="C21" s="353"/>
      <c r="D21" s="345"/>
      <c r="E21" s="355"/>
      <c r="F21" s="322"/>
      <c r="H21" s="325"/>
      <c r="I21" s="356"/>
      <c r="J21" s="325"/>
      <c r="K21" s="325"/>
      <c r="L21" s="358"/>
      <c r="M21" s="322"/>
    </row>
    <row r="22" spans="2:9" ht="15" customHeight="1">
      <c r="B22" s="1469"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469"/>
      <c r="D22" s="1469"/>
      <c r="E22" s="1469"/>
      <c r="F22" s="1469"/>
      <c r="G22" s="1469"/>
      <c r="H22" s="1469"/>
      <c r="I22" s="1469"/>
    </row>
    <row r="23" spans="2:9" ht="35.25" customHeight="1">
      <c r="B23" s="1469"/>
      <c r="C23" s="1469"/>
      <c r="D23" s="1469"/>
      <c r="E23" s="1469"/>
      <c r="F23" s="1469"/>
      <c r="G23" s="1469"/>
      <c r="H23" s="1469"/>
      <c r="I23" s="1469"/>
    </row>
    <row r="24" spans="2:9" ht="15" customHeight="1">
      <c r="B24" s="359"/>
      <c r="C24" s="359"/>
      <c r="D24" s="359"/>
      <c r="E24" s="359"/>
      <c r="F24" s="359"/>
      <c r="G24" s="359"/>
      <c r="H24" s="359"/>
      <c r="I24" s="359"/>
    </row>
    <row r="25" spans="2:13" ht="15">
      <c r="B25" s="327">
        <f>+B18+1</f>
        <v>5</v>
      </c>
      <c r="C25" s="353"/>
      <c r="D25" s="360" t="s">
        <v>539</v>
      </c>
      <c r="E25" s="342"/>
      <c r="F25" s="343"/>
      <c r="G25" s="361">
        <f>'WS K TRUE-UP RTEP RR'!N20</f>
        <v>6345500.696159005</v>
      </c>
      <c r="H25" s="343"/>
      <c r="I25" s="347" t="s">
        <v>131</v>
      </c>
      <c r="J25" s="348">
        <v>1</v>
      </c>
      <c r="K25" s="338"/>
      <c r="L25" s="362">
        <f>+J25*G25</f>
        <v>6345500.696159005</v>
      </c>
      <c r="M25" s="322"/>
    </row>
    <row r="26" spans="2:13" ht="15">
      <c r="B26" s="327"/>
      <c r="C26" s="353"/>
      <c r="D26" s="360"/>
      <c r="E26" s="355"/>
      <c r="F26" s="343"/>
      <c r="G26" s="361"/>
      <c r="H26" s="343"/>
      <c r="I26" s="343"/>
      <c r="J26" s="348"/>
      <c r="K26" s="338"/>
      <c r="L26" s="362"/>
      <c r="M26" s="322"/>
    </row>
    <row r="27" spans="2:13" ht="15">
      <c r="B27" s="352">
        <f>+B25+1</f>
        <v>6</v>
      </c>
      <c r="C27" s="353"/>
      <c r="D27" s="360" t="s">
        <v>375</v>
      </c>
      <c r="E27" s="342"/>
      <c r="F27" s="322"/>
      <c r="G27" s="363"/>
      <c r="H27" s="322"/>
      <c r="J27" s="322"/>
      <c r="K27" s="322"/>
      <c r="M27" s="322"/>
    </row>
    <row r="28" spans="2:13" ht="15">
      <c r="B28" s="327">
        <f>B27+1</f>
        <v>7</v>
      </c>
      <c r="C28" s="353"/>
      <c r="D28" s="364" t="s">
        <v>252</v>
      </c>
      <c r="E28" s="338" t="str">
        <f>"( (ln "&amp;B11&amp;" - ln "&amp;B166&amp;")/((ln "&amp;$B$89&amp;") x 100) )"</f>
        <v>( (ln 1 - ln 95)/((ln 42) x 100) )</v>
      </c>
      <c r="F28" s="328"/>
      <c r="G28" s="328"/>
      <c r="H28" s="328"/>
      <c r="I28" s="365"/>
      <c r="J28" s="365"/>
      <c r="K28" s="365"/>
      <c r="L28" s="366">
        <f>(L11-L166)/L$89</f>
        <v>0.15593579468531238</v>
      </c>
      <c r="M28" s="322"/>
    </row>
    <row r="29" spans="2:13" ht="15">
      <c r="B29" s="327">
        <f>B28+1</f>
        <v>8</v>
      </c>
      <c r="C29" s="353"/>
      <c r="D29" s="364" t="s">
        <v>253</v>
      </c>
      <c r="E29" s="338" t="str">
        <f>"(ln "&amp;B28&amp;" / 12)"</f>
        <v>(ln 7 / 12)</v>
      </c>
      <c r="F29" s="328"/>
      <c r="G29" s="328"/>
      <c r="H29" s="328"/>
      <c r="I29" s="365"/>
      <c r="J29" s="365"/>
      <c r="K29" s="365"/>
      <c r="L29" s="367">
        <f>L28/12</f>
        <v>0.012994649557109364</v>
      </c>
      <c r="M29" s="322"/>
    </row>
    <row r="30" spans="2:13" ht="15">
      <c r="B30" s="327"/>
      <c r="C30" s="353"/>
      <c r="D30" s="364"/>
      <c r="E30" s="338"/>
      <c r="F30" s="328"/>
      <c r="G30" s="328"/>
      <c r="H30" s="328"/>
      <c r="I30" s="365"/>
      <c r="J30" s="365"/>
      <c r="K30" s="365"/>
      <c r="L30" s="367"/>
      <c r="M30" s="322"/>
    </row>
    <row r="31" spans="2:13" ht="15">
      <c r="B31" s="327">
        <f>B29+1</f>
        <v>9</v>
      </c>
      <c r="C31" s="353"/>
      <c r="D31" s="360" t="str">
        <f>"NET PLANT CARRYING CHARGE ON LINE "&amp;B28&amp;" , w/o depreciation or ROE incentives (Note B)"</f>
        <v>NET PLANT CARRYING CHARGE ON LINE 7 , w/o depreciation or ROE incentives (Note B)</v>
      </c>
      <c r="E31" s="338"/>
      <c r="F31" s="328"/>
      <c r="G31" s="328"/>
      <c r="H31" s="328"/>
      <c r="I31" s="365"/>
      <c r="J31" s="365"/>
      <c r="K31" s="365"/>
      <c r="L31" s="367"/>
      <c r="M31" s="322"/>
    </row>
    <row r="32" spans="2:13" ht="15">
      <c r="B32" s="327">
        <f>B31+1</f>
        <v>10</v>
      </c>
      <c r="C32" s="353"/>
      <c r="D32" s="364" t="s">
        <v>252</v>
      </c>
      <c r="E32" s="338" t="str">
        <f>"( (ln "&amp;B11&amp;" - ln "&amp;B166&amp;" - ln "&amp;B172&amp;" ) /((ln "&amp;$B$89&amp;") x 100) )"</f>
        <v>( (ln 1 - ln 95 - ln 100 ) /((ln 42) x 100) )</v>
      </c>
      <c r="F32" s="328"/>
      <c r="G32" s="328"/>
      <c r="H32" s="328"/>
      <c r="I32" s="365"/>
      <c r="J32" s="365"/>
      <c r="K32" s="365"/>
      <c r="L32" s="366">
        <f>(L11-L166-L172)/L89</f>
        <v>0.12860879667906705</v>
      </c>
      <c r="M32" s="322"/>
    </row>
    <row r="33" spans="2:13" ht="15">
      <c r="B33" s="327"/>
      <c r="C33" s="353"/>
      <c r="D33" s="364"/>
      <c r="E33" s="338"/>
      <c r="F33" s="328"/>
      <c r="G33" s="328"/>
      <c r="H33" s="328"/>
      <c r="I33" s="365"/>
      <c r="J33" s="365"/>
      <c r="K33" s="365"/>
      <c r="L33" s="367"/>
      <c r="M33" s="322"/>
    </row>
    <row r="34" spans="2:13" ht="15">
      <c r="B34" s="327">
        <f>B32+1</f>
        <v>11</v>
      </c>
      <c r="C34" s="353"/>
      <c r="D34" s="360" t="str">
        <f>"NET PLANT CARRYING CHARGE ON LINE "&amp;B32&amp;", w/o Return, income taxes or ROE incentives (Note B)"</f>
        <v>NET PLANT CARRYING CHARGE ON LINE 10, w/o Return, income taxes or ROE incentives (Note B)</v>
      </c>
      <c r="E34" s="338"/>
      <c r="F34" s="368"/>
      <c r="G34" s="368"/>
      <c r="H34" s="368"/>
      <c r="I34" s="368"/>
      <c r="J34" s="368"/>
      <c r="K34" s="368"/>
      <c r="L34" s="368"/>
      <c r="M34" s="330"/>
    </row>
    <row r="35" spans="2:13" ht="15">
      <c r="B35" s="327">
        <f>B34+1</f>
        <v>12</v>
      </c>
      <c r="C35" s="353"/>
      <c r="D35" s="319" t="s">
        <v>252</v>
      </c>
      <c r="E35" s="338" t="str">
        <f>"( (ln "&amp;B11&amp;" - ln "&amp;B166&amp;" - ln "&amp;B172&amp;" - ln "&amp;B201&amp;" - ln "&amp;B203&amp;") /((ln "&amp;$B$89&amp;") x 100) )"</f>
        <v>( (ln 1 - ln 95 - ln 100 - ln 125 - ln 126) /((ln 42) x 100) )</v>
      </c>
      <c r="F35" s="368"/>
      <c r="G35" s="368"/>
      <c r="H35" s="368"/>
      <c r="I35" s="368"/>
      <c r="J35" s="368"/>
      <c r="K35" s="368"/>
      <c r="L35" s="369">
        <f>(L11-L166-L172-L201-L203)/L89</f>
        <v>0.03391256450087231</v>
      </c>
      <c r="M35" s="330"/>
    </row>
    <row r="36" spans="2:13" ht="15">
      <c r="B36" s="327"/>
      <c r="C36" s="353"/>
      <c r="D36" s="319"/>
      <c r="E36" s="338"/>
      <c r="F36" s="328"/>
      <c r="G36" s="328"/>
      <c r="H36" s="328"/>
      <c r="I36" s="365"/>
      <c r="J36" s="365"/>
      <c r="K36" s="365"/>
      <c r="L36" s="366"/>
      <c r="M36" s="370"/>
    </row>
    <row r="37" spans="2:13" ht="15">
      <c r="B37" s="327">
        <f>B35+1</f>
        <v>13</v>
      </c>
      <c r="C37" s="328"/>
      <c r="D37" s="371" t="s">
        <v>597</v>
      </c>
      <c r="E37" s="338"/>
      <c r="F37" s="328"/>
      <c r="G37" s="328"/>
      <c r="H37" s="328"/>
      <c r="I37" s="365"/>
      <c r="J37" s="365"/>
      <c r="K37" s="365"/>
      <c r="L37" s="372"/>
      <c r="M37" s="322"/>
    </row>
    <row r="38" spans="2:13" ht="15">
      <c r="B38" s="327"/>
      <c r="C38" s="328"/>
      <c r="E38" s="338"/>
      <c r="F38" s="328"/>
      <c r="G38" s="328"/>
      <c r="H38" s="328"/>
      <c r="I38" s="365"/>
      <c r="J38" s="365"/>
      <c r="K38" s="365"/>
      <c r="L38" s="366"/>
      <c r="M38" s="322"/>
    </row>
    <row r="39" spans="2:13" ht="15">
      <c r="B39" s="313"/>
      <c r="C39" s="328"/>
      <c r="E39" s="338"/>
      <c r="F39" s="328"/>
      <c r="G39" s="328"/>
      <c r="H39" s="328"/>
      <c r="I39" s="365"/>
      <c r="J39" s="365"/>
      <c r="K39" s="365"/>
      <c r="L39" s="366"/>
      <c r="M39" s="322"/>
    </row>
    <row r="40" spans="2:13" ht="15.75">
      <c r="B40" s="327">
        <f>+B37+1</f>
        <v>14</v>
      </c>
      <c r="C40" s="328"/>
      <c r="D40" s="1475" t="s">
        <v>434</v>
      </c>
      <c r="E40" s="1475"/>
      <c r="F40" s="1475"/>
      <c r="G40" s="1475"/>
      <c r="H40" s="1475"/>
      <c r="I40" s="1475"/>
      <c r="J40" s="1475"/>
      <c r="K40" s="1475"/>
      <c r="L40" s="1475"/>
      <c r="M40" s="322"/>
    </row>
    <row r="41" spans="2:13" ht="15">
      <c r="B41" s="327"/>
      <c r="C41" s="328"/>
      <c r="E41" s="338"/>
      <c r="F41" s="328"/>
      <c r="G41" s="328"/>
      <c r="H41" s="328"/>
      <c r="I41" s="365"/>
      <c r="J41" s="365"/>
      <c r="K41" s="365"/>
      <c r="L41" s="366"/>
      <c r="M41" s="322"/>
    </row>
    <row r="42" spans="2:14" ht="15">
      <c r="B42" s="327">
        <f>+B40+1</f>
        <v>15</v>
      </c>
      <c r="C42" s="328"/>
      <c r="D42" s="337" t="s">
        <v>436</v>
      </c>
      <c r="E42" s="338" t="str">
        <f>"Line "&amp;B144&amp;" Below"</f>
        <v>Line 75 Below</v>
      </c>
      <c r="F42" s="328"/>
      <c r="H42" s="328"/>
      <c r="I42" s="365"/>
      <c r="J42" s="365"/>
      <c r="K42" s="365"/>
      <c r="L42" s="373">
        <f>+G144</f>
        <v>6506185</v>
      </c>
      <c r="M42" s="338"/>
      <c r="N42" s="318"/>
    </row>
    <row r="43" spans="2:14" ht="15">
      <c r="B43" s="327">
        <f>+B42+1</f>
        <v>16</v>
      </c>
      <c r="C43" s="328"/>
      <c r="D43" s="337" t="s">
        <v>474</v>
      </c>
      <c r="E43" s="322"/>
      <c r="F43" s="328"/>
      <c r="H43" s="328"/>
      <c r="I43" s="365"/>
      <c r="J43" s="365"/>
      <c r="K43" s="365"/>
      <c r="L43" s="1331">
        <v>4522359</v>
      </c>
      <c r="M43" s="338"/>
      <c r="N43" s="318"/>
    </row>
    <row r="44" spans="2:14" ht="15">
      <c r="B44" s="327">
        <f>+B43+1</f>
        <v>17</v>
      </c>
      <c r="C44" s="328"/>
      <c r="D44" s="337" t="s">
        <v>475</v>
      </c>
      <c r="E44" s="322"/>
      <c r="F44" s="328"/>
      <c r="H44" s="328"/>
      <c r="I44" s="365"/>
      <c r="J44" s="365"/>
      <c r="K44" s="365"/>
      <c r="L44" s="1331">
        <v>1414671</v>
      </c>
      <c r="M44" s="338"/>
      <c r="N44" s="318"/>
    </row>
    <row r="45" spans="2:14" ht="15">
      <c r="B45" s="327"/>
      <c r="C45" s="328"/>
      <c r="E45" s="322"/>
      <c r="F45" s="328"/>
      <c r="H45" s="328"/>
      <c r="I45" s="365"/>
      <c r="J45" s="365"/>
      <c r="K45" s="365"/>
      <c r="L45" s="328"/>
      <c r="M45" s="338"/>
      <c r="N45" s="318"/>
    </row>
    <row r="46" spans="2:14" ht="15.75" thickBot="1">
      <c r="B46" s="327">
        <f>+B44+1</f>
        <v>18</v>
      </c>
      <c r="C46" s="328"/>
      <c r="D46" s="337" t="s">
        <v>435</v>
      </c>
      <c r="E46" s="340" t="str">
        <f>"(Line "&amp;B42&amp;" - Line "&amp;B43&amp;" - Line "&amp;B44&amp;")"</f>
        <v>(Line 15 - Line 16 - Line 17)</v>
      </c>
      <c r="F46" s="328"/>
      <c r="H46" s="328"/>
      <c r="I46" s="365"/>
      <c r="J46" s="365"/>
      <c r="K46" s="365"/>
      <c r="L46" s="374">
        <f>+L42-L43-L44</f>
        <v>569155</v>
      </c>
      <c r="M46" s="338"/>
      <c r="N46" s="318"/>
    </row>
    <row r="47" spans="2:14" ht="15.75" thickTop="1">
      <c r="B47" s="327"/>
      <c r="C47" s="328"/>
      <c r="E47" s="338"/>
      <c r="F47" s="328"/>
      <c r="G47" s="328"/>
      <c r="H47" s="328"/>
      <c r="I47" s="365"/>
      <c r="J47" s="365"/>
      <c r="K47" s="365"/>
      <c r="L47" s="366"/>
      <c r="M47" s="338"/>
      <c r="N47" s="318"/>
    </row>
    <row r="48" spans="2:14" ht="15">
      <c r="B48" s="327"/>
      <c r="C48" s="328"/>
      <c r="E48" s="338"/>
      <c r="F48" s="328"/>
      <c r="G48" s="328"/>
      <c r="H48" s="328"/>
      <c r="I48" s="365"/>
      <c r="J48" s="365"/>
      <c r="K48" s="365"/>
      <c r="L48" s="366"/>
      <c r="M48" s="338"/>
      <c r="N48" s="318"/>
    </row>
    <row r="49" spans="2:14" ht="15">
      <c r="B49" s="327"/>
      <c r="C49" s="328"/>
      <c r="E49" s="338"/>
      <c r="F49" s="328"/>
      <c r="G49" s="328"/>
      <c r="H49" s="328"/>
      <c r="I49" s="365"/>
      <c r="J49" s="365"/>
      <c r="K49" s="365"/>
      <c r="L49" s="366"/>
      <c r="M49" s="338"/>
      <c r="N49" s="318"/>
    </row>
    <row r="50" spans="4:14" ht="15">
      <c r="D50" s="319"/>
      <c r="E50" s="319"/>
      <c r="G50" s="340"/>
      <c r="H50" s="319"/>
      <c r="I50" s="319"/>
      <c r="J50" s="319"/>
      <c r="K50" s="319"/>
      <c r="L50" s="319"/>
      <c r="M50" s="375"/>
      <c r="N50" s="318"/>
    </row>
    <row r="51" spans="4:16" ht="15">
      <c r="D51" s="319"/>
      <c r="E51" s="319"/>
      <c r="F51" s="328"/>
      <c r="G51" s="340"/>
      <c r="H51" s="319"/>
      <c r="I51" s="319"/>
      <c r="J51" s="319"/>
      <c r="K51" s="319"/>
      <c r="L51" s="319"/>
      <c r="M51" s="375"/>
      <c r="N51" s="318"/>
      <c r="P51" s="376"/>
    </row>
    <row r="52" spans="4:16" ht="15">
      <c r="D52" s="319"/>
      <c r="E52" s="319"/>
      <c r="F52" s="328" t="str">
        <f>F3</f>
        <v>AEP East Companies </v>
      </c>
      <c r="G52" s="340"/>
      <c r="H52" s="319"/>
      <c r="I52" s="319"/>
      <c r="J52" s="319"/>
      <c r="K52" s="319"/>
      <c r="L52" s="319"/>
      <c r="M52" s="375"/>
      <c r="N52" s="318"/>
      <c r="P52" s="376"/>
    </row>
    <row r="53" spans="4:16" ht="15">
      <c r="D53" s="319"/>
      <c r="E53" s="325"/>
      <c r="F53" s="328" t="str">
        <f>F4</f>
        <v>Transmission Cost of Service Formula Rate</v>
      </c>
      <c r="G53" s="325"/>
      <c r="H53" s="325"/>
      <c r="I53" s="325"/>
      <c r="J53" s="325"/>
      <c r="K53" s="325"/>
      <c r="L53" s="325"/>
      <c r="M53" s="377"/>
      <c r="N53" s="318"/>
      <c r="P53" s="372"/>
    </row>
    <row r="54" spans="4:16" ht="15">
      <c r="D54" s="319"/>
      <c r="E54" s="325"/>
      <c r="F54" s="356" t="str">
        <f>F5</f>
        <v>Utilizing  Actual/Projected FERC Form 1 Data</v>
      </c>
      <c r="G54" s="325"/>
      <c r="H54" s="325"/>
      <c r="I54" s="325"/>
      <c r="J54" s="325"/>
      <c r="K54" s="325"/>
      <c r="L54" s="325"/>
      <c r="M54" s="378"/>
      <c r="N54" s="318"/>
      <c r="P54" s="372"/>
    </row>
    <row r="55" spans="4:16" ht="15">
      <c r="D55" s="319"/>
      <c r="E55" s="325"/>
      <c r="F55" s="328"/>
      <c r="G55" s="325"/>
      <c r="H55" s="325"/>
      <c r="I55" s="325"/>
      <c r="J55" s="325"/>
      <c r="K55" s="325"/>
      <c r="L55" s="325"/>
      <c r="M55" s="343"/>
      <c r="N55" s="318"/>
      <c r="P55" s="372"/>
    </row>
    <row r="56" spans="4:16" ht="15">
      <c r="D56" s="319"/>
      <c r="E56" s="325"/>
      <c r="F56" s="328" t="str">
        <f>F7</f>
        <v>INDIANA MICHIGAN POWER COMPANY</v>
      </c>
      <c r="G56" s="325"/>
      <c r="H56" s="325"/>
      <c r="I56" s="325"/>
      <c r="J56" s="325"/>
      <c r="K56" s="325"/>
      <c r="L56" s="325"/>
      <c r="M56" s="343"/>
      <c r="N56" s="318"/>
      <c r="P56" s="372"/>
    </row>
    <row r="57" spans="4:16" ht="15">
      <c r="D57" s="319"/>
      <c r="E57" s="356"/>
      <c r="F57" s="356"/>
      <c r="G57" s="356"/>
      <c r="H57" s="356"/>
      <c r="I57" s="356"/>
      <c r="J57" s="356"/>
      <c r="K57" s="356"/>
      <c r="L57" s="325"/>
      <c r="M57" s="343"/>
      <c r="N57" s="318"/>
      <c r="P57" s="372"/>
    </row>
    <row r="58" spans="4:14" ht="15">
      <c r="D58" s="328" t="s">
        <v>123</v>
      </c>
      <c r="E58" s="328" t="s">
        <v>124</v>
      </c>
      <c r="F58" s="328"/>
      <c r="G58" s="328" t="s">
        <v>125</v>
      </c>
      <c r="H58" s="325" t="s">
        <v>116</v>
      </c>
      <c r="I58" s="1470" t="s">
        <v>126</v>
      </c>
      <c r="J58" s="1471"/>
      <c r="K58" s="325"/>
      <c r="L58" s="329" t="s">
        <v>127</v>
      </c>
      <c r="M58" s="343"/>
      <c r="N58" s="318"/>
    </row>
    <row r="59" spans="2:14" ht="15">
      <c r="B59" s="313"/>
      <c r="D59" s="368"/>
      <c r="E59" s="368"/>
      <c r="F59" s="368"/>
      <c r="G59" s="373"/>
      <c r="H59" s="325"/>
      <c r="I59" s="325"/>
      <c r="J59" s="380"/>
      <c r="K59" s="325"/>
      <c r="M59" s="343"/>
      <c r="N59" s="318"/>
    </row>
    <row r="60" spans="2:16" ht="15.75">
      <c r="B60" s="381"/>
      <c r="C60" s="328"/>
      <c r="D60" s="368"/>
      <c r="E60" s="382" t="s">
        <v>96</v>
      </c>
      <c r="F60" s="383"/>
      <c r="G60" s="325"/>
      <c r="H60" s="325"/>
      <c r="I60" s="325"/>
      <c r="J60" s="328"/>
      <c r="K60" s="325"/>
      <c r="L60" s="384" t="s">
        <v>120</v>
      </c>
      <c r="M60" s="343"/>
      <c r="N60" s="318"/>
      <c r="P60" s="376"/>
    </row>
    <row r="61" spans="2:14" ht="15.75">
      <c r="B61" s="313"/>
      <c r="C61" s="335"/>
      <c r="D61" s="385" t="s">
        <v>95</v>
      </c>
      <c r="E61" s="386" t="s">
        <v>114</v>
      </c>
      <c r="F61" s="325"/>
      <c r="G61" s="385" t="s">
        <v>82</v>
      </c>
      <c r="H61" s="387"/>
      <c r="I61" s="1472" t="s">
        <v>121</v>
      </c>
      <c r="J61" s="1473"/>
      <c r="K61" s="387"/>
      <c r="L61" s="385" t="s">
        <v>117</v>
      </c>
      <c r="M61" s="343"/>
      <c r="N61" s="318"/>
    </row>
    <row r="62" spans="2:14" ht="15">
      <c r="B62" s="1108" t="str">
        <f>B9</f>
        <v>Line</v>
      </c>
      <c r="C62" s="353"/>
      <c r="D62" s="364"/>
      <c r="E62" s="343"/>
      <c r="F62" s="343"/>
      <c r="G62" s="1109" t="s">
        <v>356</v>
      </c>
      <c r="H62" s="343"/>
      <c r="I62" s="343"/>
      <c r="J62" s="343"/>
      <c r="K62" s="343"/>
      <c r="L62" s="343"/>
      <c r="M62" s="343"/>
      <c r="N62" s="318"/>
    </row>
    <row r="63" spans="2:14" ht="15.75" thickBot="1">
      <c r="B63" s="1110" t="str">
        <f>B10</f>
        <v>No.</v>
      </c>
      <c r="C63" s="353"/>
      <c r="D63" s="364" t="s">
        <v>83</v>
      </c>
      <c r="E63" s="388"/>
      <c r="F63" s="388"/>
      <c r="G63" s="343"/>
      <c r="H63" s="343"/>
      <c r="I63" s="347"/>
      <c r="J63" s="343"/>
      <c r="K63" s="343"/>
      <c r="L63" s="343"/>
      <c r="M63" s="343"/>
      <c r="N63" s="318"/>
    </row>
    <row r="64" spans="2:14" ht="15">
      <c r="B64" s="352">
        <f>+B46+1</f>
        <v>19</v>
      </c>
      <c r="C64" s="353"/>
      <c r="D64" s="396" t="s">
        <v>128</v>
      </c>
      <c r="E64" s="343" t="str">
        <f>"(Worksheet A ln "&amp;'I&amp;M WS A - RB Support'!A23&amp;"."&amp;'I&amp;M WS A - RB Support'!C8&amp;")"</f>
        <v>(Worksheet A ln 14.(b))</v>
      </c>
      <c r="F64" s="343"/>
      <c r="G64" s="361">
        <f>'I&amp;M WS A - RB Support'!C23</f>
        <v>4221064519</v>
      </c>
      <c r="H64" s="361"/>
      <c r="I64" s="347" t="s">
        <v>129</v>
      </c>
      <c r="J64" s="348">
        <v>0</v>
      </c>
      <c r="K64" s="343"/>
      <c r="L64" s="390">
        <f>+J64*G64</f>
        <v>0</v>
      </c>
      <c r="M64" s="343"/>
      <c r="N64" s="318"/>
    </row>
    <row r="65" spans="2:14" ht="15">
      <c r="B65" s="352">
        <f>+B64+1</f>
        <v>20</v>
      </c>
      <c r="C65" s="353"/>
      <c r="D65" s="396" t="s">
        <v>379</v>
      </c>
      <c r="E65" s="343" t="str">
        <f>"(Worksheet A ln "&amp;'I&amp;M WS A - RB Support'!A23&amp;"."&amp;'I&amp;M WS A - RB Support'!D8&amp;")"</f>
        <v>(Worksheet A ln 14.(c))</v>
      </c>
      <c r="F65" s="343"/>
      <c r="G65" s="390">
        <f>-'I&amp;M WS A - RB Support'!D23</f>
        <v>-145612314.5</v>
      </c>
      <c r="H65" s="361"/>
      <c r="I65" s="347" t="s">
        <v>129</v>
      </c>
      <c r="J65" s="348">
        <v>0</v>
      </c>
      <c r="K65" s="343"/>
      <c r="L65" s="390">
        <f>+J65*G65</f>
        <v>0</v>
      </c>
      <c r="M65" s="343"/>
      <c r="N65" s="318"/>
    </row>
    <row r="66" spans="2:14" ht="15">
      <c r="B66" s="352">
        <f aca="true" t="shared" si="0" ref="B66:B72">+B65+1</f>
        <v>21</v>
      </c>
      <c r="C66" s="405"/>
      <c r="D66" s="1111" t="s">
        <v>130</v>
      </c>
      <c r="E66" s="343" t="str">
        <f>"(Worksheet A ln "&amp;'I&amp;M WS A - RB Support'!A23&amp;"."&amp;'I&amp;M WS A - RB Support'!E8&amp;" &amp; TCOS Ln "&amp;B227&amp;")"</f>
        <v>(Worksheet A ln 14.(d) &amp; TCOS Ln 134)</v>
      </c>
      <c r="F66" s="392"/>
      <c r="G66" s="361">
        <f>'I&amp;M WS A - RB Support'!E23</f>
        <v>1488121309.5</v>
      </c>
      <c r="H66" s="361"/>
      <c r="I66" s="393" t="s">
        <v>131</v>
      </c>
      <c r="J66" s="348" t="s">
        <v>116</v>
      </c>
      <c r="K66" s="394"/>
      <c r="L66" s="390">
        <f>+L227</f>
        <v>1429476849.61</v>
      </c>
      <c r="M66" s="394"/>
      <c r="N66" s="318"/>
    </row>
    <row r="67" spans="2:14" ht="15">
      <c r="B67" s="352">
        <f t="shared" si="0"/>
        <v>22</v>
      </c>
      <c r="C67" s="405"/>
      <c r="D67" s="396" t="s">
        <v>380</v>
      </c>
      <c r="E67" s="343" t="str">
        <f>"(Worksheet A ln "&amp;'I&amp;M WS A - RB Support'!A23&amp;"."&amp;'I&amp;M WS A - RB Support'!F8&amp;")"</f>
        <v>(Worksheet A ln 14.(e))</v>
      </c>
      <c r="F67" s="392"/>
      <c r="G67" s="361">
        <f>-'I&amp;M WS A - RB Support'!F23</f>
        <v>0</v>
      </c>
      <c r="H67" s="361"/>
      <c r="I67" s="393" t="s">
        <v>122</v>
      </c>
      <c r="J67" s="348">
        <f>L229</f>
        <v>0.9605916133882229</v>
      </c>
      <c r="K67" s="394"/>
      <c r="L67" s="390">
        <f>+G67*J67</f>
        <v>0</v>
      </c>
      <c r="M67" s="394"/>
      <c r="N67" s="318"/>
    </row>
    <row r="68" spans="2:14" ht="15">
      <c r="B68" s="352">
        <f>+B67+1</f>
        <v>23</v>
      </c>
      <c r="C68" s="405"/>
      <c r="D68" s="364" t="s">
        <v>132</v>
      </c>
      <c r="E68" s="343" t="str">
        <f>"(Worksheet A ln "&amp;'I&amp;M WS A - RB Support'!A23&amp;"."&amp;'I&amp;M WS A - RB Support'!G8&amp;")"</f>
        <v>(Worksheet A ln 14.(f))</v>
      </c>
      <c r="F68" s="343"/>
      <c r="G68" s="361">
        <f>'I&amp;M WS A - RB Support'!G23</f>
        <v>1984096953.5</v>
      </c>
      <c r="H68" s="361"/>
      <c r="I68" s="347" t="s">
        <v>129</v>
      </c>
      <c r="J68" s="348">
        <v>0</v>
      </c>
      <c r="K68" s="343"/>
      <c r="L68" s="390">
        <f>+J68*G68</f>
        <v>0</v>
      </c>
      <c r="M68" s="343"/>
      <c r="N68" s="318"/>
    </row>
    <row r="69" spans="2:14" ht="15">
      <c r="B69" s="352">
        <f t="shared" si="0"/>
        <v>24</v>
      </c>
      <c r="C69" s="405"/>
      <c r="D69" s="396" t="s">
        <v>377</v>
      </c>
      <c r="E69" s="343" t="str">
        <f>"(Worksheet A ln "&amp;'I&amp;M WS A - RB Support'!A23&amp;"."&amp;'I&amp;M WS A - RB Support'!H8&amp;")"</f>
        <v>(Worksheet A ln 14.(g))</v>
      </c>
      <c r="F69" s="343"/>
      <c r="G69" s="390">
        <f>-'I&amp;M WS A - RB Support'!H23</f>
        <v>0</v>
      </c>
      <c r="H69" s="361"/>
      <c r="I69" s="347" t="s">
        <v>129</v>
      </c>
      <c r="J69" s="348">
        <v>0</v>
      </c>
      <c r="K69" s="343"/>
      <c r="L69" s="390">
        <f>+G69*J69</f>
        <v>0</v>
      </c>
      <c r="M69" s="343"/>
      <c r="N69" s="318"/>
    </row>
    <row r="70" spans="2:14" ht="15">
      <c r="B70" s="352">
        <f t="shared" si="0"/>
        <v>25</v>
      </c>
      <c r="C70" s="405"/>
      <c r="D70" s="364" t="s">
        <v>133</v>
      </c>
      <c r="E70" s="343" t="str">
        <f>"(Worksheet A ln "&amp;'I&amp;M WS A - RB Support'!A23&amp;"."&amp;'I&amp;M WS A - RB Support'!I8&amp;")"</f>
        <v>(Worksheet A ln 14.(h))</v>
      </c>
      <c r="F70" s="343"/>
      <c r="G70" s="361">
        <f>'I&amp;M WS A - RB Support'!I23</f>
        <v>131538993</v>
      </c>
      <c r="H70" s="361"/>
      <c r="I70" s="347" t="s">
        <v>134</v>
      </c>
      <c r="J70" s="348">
        <f>L239</f>
        <v>0.0387529968261521</v>
      </c>
      <c r="K70" s="343"/>
      <c r="L70" s="390">
        <f>+J70*G70</f>
        <v>5097530.178244243</v>
      </c>
      <c r="M70" s="343"/>
      <c r="N70" s="318"/>
    </row>
    <row r="71" spans="2:14" ht="15">
      <c r="B71" s="352">
        <f t="shared" si="0"/>
        <v>26</v>
      </c>
      <c r="C71" s="405"/>
      <c r="D71" s="396" t="s">
        <v>378</v>
      </c>
      <c r="E71" s="343" t="str">
        <f>"(Worksheet A ln "&amp;'I&amp;M WS A - RB Support'!A23&amp;"."&amp;'I&amp;M WS A - RB Support'!J8&amp;")"</f>
        <v>(Worksheet A ln 14.(i))</v>
      </c>
      <c r="F71" s="343"/>
      <c r="G71" s="390">
        <f>-'I&amp;M WS A - RB Support'!J23</f>
        <v>-172921</v>
      </c>
      <c r="H71" s="361"/>
      <c r="I71" s="347" t="s">
        <v>134</v>
      </c>
      <c r="J71" s="348">
        <f>L239</f>
        <v>0.0387529968261521</v>
      </c>
      <c r="K71" s="343"/>
      <c r="L71" s="390">
        <f>+G71*J71</f>
        <v>-6701.206964175048</v>
      </c>
      <c r="M71" s="343"/>
      <c r="N71" s="318"/>
    </row>
    <row r="72" spans="2:15" ht="15.75" thickBot="1">
      <c r="B72" s="352">
        <f t="shared" si="0"/>
        <v>27</v>
      </c>
      <c r="C72" s="405"/>
      <c r="D72" s="364" t="s">
        <v>135</v>
      </c>
      <c r="E72" s="343" t="str">
        <f>"(Worksheet A ln "&amp;'I&amp;M WS A - RB Support'!A23&amp;"."&amp;'I&amp;M WS A - RB Support'!K8&amp;")"</f>
        <v>(Worksheet A ln 14.(j))</v>
      </c>
      <c r="F72" s="343"/>
      <c r="G72" s="397">
        <f>'I&amp;M WS A - RB Support'!K23</f>
        <v>136589164.5</v>
      </c>
      <c r="H72" s="361"/>
      <c r="I72" s="347" t="s">
        <v>134</v>
      </c>
      <c r="J72" s="348">
        <f>L239</f>
        <v>0.0387529968261521</v>
      </c>
      <c r="K72" s="343"/>
      <c r="L72" s="491">
        <f>+J72*G72</f>
        <v>5293239.4583552675</v>
      </c>
      <c r="M72" s="343"/>
      <c r="N72" s="364"/>
      <c r="O72" s="319"/>
    </row>
    <row r="73" spans="2:15" ht="15.75">
      <c r="B73" s="352">
        <f>+B72+1</f>
        <v>28</v>
      </c>
      <c r="C73" s="405"/>
      <c r="D73" s="364" t="s">
        <v>48</v>
      </c>
      <c r="E73" s="353" t="str">
        <f>"(sum lns "&amp;B64&amp;" to "&amp;B72&amp;")"</f>
        <v>(sum lns 19 to 27)</v>
      </c>
      <c r="F73" s="701"/>
      <c r="G73" s="361">
        <f>SUM(G64:G72)</f>
        <v>7815625704</v>
      </c>
      <c r="H73" s="361"/>
      <c r="I73" s="492" t="s">
        <v>747</v>
      </c>
      <c r="J73" s="399">
        <f>+L73/G73</f>
        <v>0.18422848951207083</v>
      </c>
      <c r="K73" s="343"/>
      <c r="L73" s="361">
        <f>SUM(L64:L72)</f>
        <v>1439860918.0396352</v>
      </c>
      <c r="M73" s="343"/>
      <c r="N73" s="364"/>
      <c r="O73" s="319"/>
    </row>
    <row r="74" spans="2:15" ht="15.75">
      <c r="B74" s="352"/>
      <c r="C74" s="353"/>
      <c r="D74" s="364"/>
      <c r="E74" s="1113"/>
      <c r="F74" s="701"/>
      <c r="G74" s="361"/>
      <c r="H74" s="361"/>
      <c r="I74" s="1106" t="s">
        <v>218</v>
      </c>
      <c r="J74" s="400">
        <f>+L66/(G68+G66+G69)</f>
        <v>0.411689802119447</v>
      </c>
      <c r="K74" s="343"/>
      <c r="L74" s="361"/>
      <c r="M74" s="343"/>
      <c r="N74" s="401"/>
      <c r="O74" s="319"/>
    </row>
    <row r="75" spans="2:15" ht="15">
      <c r="B75" s="352">
        <f>+B73+1</f>
        <v>29</v>
      </c>
      <c r="C75" s="353"/>
      <c r="D75" s="364" t="s">
        <v>24</v>
      </c>
      <c r="E75" s="388"/>
      <c r="F75" s="388"/>
      <c r="G75" s="361"/>
      <c r="H75" s="402"/>
      <c r="I75" s="347"/>
      <c r="J75" s="403"/>
      <c r="K75" s="343"/>
      <c r="L75" s="361"/>
      <c r="M75" s="343"/>
      <c r="N75" s="343"/>
      <c r="O75" s="325"/>
    </row>
    <row r="76" spans="2:15" ht="15">
      <c r="B76" s="352">
        <f>+B75+1</f>
        <v>30</v>
      </c>
      <c r="C76" s="353"/>
      <c r="D76" s="396" t="str">
        <f>+D64</f>
        <v>  Production</v>
      </c>
      <c r="E76" s="343" t="str">
        <f>"(Worksheet A ln "&amp;'I&amp;M WS A - RB Support'!A42&amp;"."&amp;'I&amp;M WS A - RB Support'!C27&amp;")"</f>
        <v>(Worksheet A ln 28.(b))</v>
      </c>
      <c r="F76" s="343"/>
      <c r="G76" s="361">
        <f>'I&amp;M WS A - RB Support'!C42</f>
        <v>1679113955</v>
      </c>
      <c r="H76" s="361"/>
      <c r="I76" s="347" t="s">
        <v>129</v>
      </c>
      <c r="J76" s="348">
        <v>0</v>
      </c>
      <c r="K76" s="343"/>
      <c r="L76" s="390">
        <f>+J76*G76</f>
        <v>0</v>
      </c>
      <c r="M76" s="343"/>
      <c r="N76" s="343"/>
      <c r="O76" s="325"/>
    </row>
    <row r="77" spans="2:15" ht="15">
      <c r="B77" s="352">
        <f aca="true" t="shared" si="1" ref="B77:B85">+B76+1</f>
        <v>31</v>
      </c>
      <c r="C77" s="353"/>
      <c r="D77" s="396" t="s">
        <v>379</v>
      </c>
      <c r="E77" s="343" t="str">
        <f>"(Worksheet A ln "&amp;'I&amp;M WS A - RB Support'!A42&amp;"."&amp;'I&amp;M WS A - RB Support'!D27&amp;")"</f>
        <v>(Worksheet A ln 28.(c))</v>
      </c>
      <c r="F77" s="343"/>
      <c r="G77" s="390">
        <f>-'I&amp;M WS A - RB Support'!D42</f>
        <v>-108834986.575</v>
      </c>
      <c r="H77" s="361"/>
      <c r="I77" s="347" t="s">
        <v>129</v>
      </c>
      <c r="J77" s="348">
        <v>0</v>
      </c>
      <c r="K77" s="343"/>
      <c r="L77" s="390">
        <f>+J77*G77</f>
        <v>0</v>
      </c>
      <c r="M77" s="343"/>
      <c r="N77" s="343"/>
      <c r="O77" s="325"/>
    </row>
    <row r="78" spans="2:15" ht="15.75">
      <c r="B78" s="352">
        <f t="shared" si="1"/>
        <v>32</v>
      </c>
      <c r="C78" s="405"/>
      <c r="D78" s="1111" t="str">
        <f>D66</f>
        <v>  Transmission</v>
      </c>
      <c r="E78" s="343" t="str">
        <f>"(Worksheet A ln "&amp;'I&amp;M WS A - RB Support'!A42&amp;"."&amp;'I&amp;M WS A - RB Support'!E27&amp;" &amp; "&amp;"ln "&amp;'I&amp;M WS A - RB Support'!A64&amp;"."&amp;'I&amp;M WS A - RB Support'!D47&amp;")"</f>
        <v>(Worksheet A ln 28.(d) &amp; ln 43.(c))</v>
      </c>
      <c r="F78" s="392"/>
      <c r="G78" s="395">
        <f>'I&amp;M WS A - RB Support'!E42</f>
        <v>533088411.5</v>
      </c>
      <c r="H78" s="361"/>
      <c r="I78" s="1107" t="s">
        <v>27</v>
      </c>
      <c r="J78" s="404">
        <f>L78/G78</f>
        <v>0.9865516341373329</v>
      </c>
      <c r="K78" s="394"/>
      <c r="L78" s="390">
        <f>'I&amp;M WS A - RB Support'!D64</f>
        <v>525919243.505</v>
      </c>
      <c r="M78" s="394"/>
      <c r="N78" s="343"/>
      <c r="O78" s="325"/>
    </row>
    <row r="79" spans="2:15" ht="15.75">
      <c r="B79" s="352">
        <f t="shared" si="1"/>
        <v>33</v>
      </c>
      <c r="C79" s="405"/>
      <c r="D79" s="396" t="s">
        <v>380</v>
      </c>
      <c r="E79" s="343" t="str">
        <f>"(Worksheet A ln "&amp;'I&amp;M WS A - RB Support'!A42&amp;"."&amp;'I&amp;M WS A - RB Support'!F27&amp;")"</f>
        <v>(Worksheet A ln 28.(e))</v>
      </c>
      <c r="F79" s="392"/>
      <c r="G79" s="390">
        <f>-'I&amp;M WS A - RB Support'!F42</f>
        <v>0</v>
      </c>
      <c r="H79" s="361"/>
      <c r="I79" s="1107" t="s">
        <v>27</v>
      </c>
      <c r="J79" s="348">
        <f>+J78</f>
        <v>0.9865516341373329</v>
      </c>
      <c r="K79" s="394"/>
      <c r="L79" s="390">
        <f aca="true" t="shared" si="2" ref="L79:L84">+J79*G79</f>
        <v>0</v>
      </c>
      <c r="M79" s="394"/>
      <c r="N79" s="343"/>
      <c r="O79" s="325"/>
    </row>
    <row r="80" spans="2:15" ht="15">
      <c r="B80" s="352">
        <f>+B79+1</f>
        <v>34</v>
      </c>
      <c r="C80" s="405"/>
      <c r="D80" s="364" t="str">
        <f>+D68</f>
        <v>  Distribution</v>
      </c>
      <c r="E80" s="343" t="str">
        <f>"(Worksheet A ln "&amp;'I&amp;M WS A - RB Support'!A42&amp;"."&amp;'I&amp;M WS A - RB Support'!G27&amp;")"</f>
        <v>(Worksheet A ln 28.(f))</v>
      </c>
      <c r="F80" s="343"/>
      <c r="G80" s="361">
        <f>'I&amp;M WS A - RB Support'!G42</f>
        <v>596718461</v>
      </c>
      <c r="H80" s="361"/>
      <c r="I80" s="347" t="s">
        <v>129</v>
      </c>
      <c r="J80" s="348">
        <v>0</v>
      </c>
      <c r="K80" s="343"/>
      <c r="L80" s="390">
        <f t="shared" si="2"/>
        <v>0</v>
      </c>
      <c r="M80" s="343"/>
      <c r="N80" s="343"/>
      <c r="O80" s="325"/>
    </row>
    <row r="81" spans="2:15" ht="15">
      <c r="B81" s="352">
        <f t="shared" si="1"/>
        <v>35</v>
      </c>
      <c r="C81" s="405"/>
      <c r="D81" s="396" t="s">
        <v>377</v>
      </c>
      <c r="E81" s="343" t="str">
        <f>"(Worksheet A ln "&amp;'I&amp;M WS A - RB Support'!A42&amp;"."&amp;'I&amp;M WS A - RB Support'!H27&amp;")"</f>
        <v>(Worksheet A ln 28.(g))</v>
      </c>
      <c r="F81" s="343"/>
      <c r="G81" s="390">
        <f>-'I&amp;M WS A - RB Support'!H42</f>
        <v>0</v>
      </c>
      <c r="H81" s="361"/>
      <c r="I81" s="347" t="s">
        <v>129</v>
      </c>
      <c r="J81" s="348">
        <v>0</v>
      </c>
      <c r="K81" s="343"/>
      <c r="L81" s="390">
        <f t="shared" si="2"/>
        <v>0</v>
      </c>
      <c r="M81" s="343"/>
      <c r="N81" s="343"/>
      <c r="O81" s="325"/>
    </row>
    <row r="82" spans="2:15" ht="15">
      <c r="B82" s="352">
        <f t="shared" si="1"/>
        <v>36</v>
      </c>
      <c r="C82" s="405"/>
      <c r="D82" s="364" t="str">
        <f>+D70</f>
        <v>  General Plant   </v>
      </c>
      <c r="E82" s="343" t="str">
        <f>"(Worksheet A ln "&amp;'I&amp;M WS A - RB Support'!A42&amp;"."&amp;'I&amp;M WS A - RB Support'!I27&amp;")"</f>
        <v>(Worksheet A ln 28.(h))</v>
      </c>
      <c r="F82" s="343"/>
      <c r="G82" s="346">
        <f>'I&amp;M WS A - RB Support'!I42</f>
        <v>30152235</v>
      </c>
      <c r="H82" s="361"/>
      <c r="I82" s="347" t="s">
        <v>134</v>
      </c>
      <c r="J82" s="348">
        <f>L239</f>
        <v>0.0387529968261521</v>
      </c>
      <c r="K82" s="343"/>
      <c r="L82" s="390">
        <f t="shared" si="2"/>
        <v>1168489.4672563924</v>
      </c>
      <c r="M82" s="343"/>
      <c r="N82" s="343"/>
      <c r="O82" s="325"/>
    </row>
    <row r="83" spans="2:15" ht="15">
      <c r="B83" s="352">
        <f t="shared" si="1"/>
        <v>37</v>
      </c>
      <c r="C83" s="405"/>
      <c r="D83" s="396" t="s">
        <v>378</v>
      </c>
      <c r="E83" s="343" t="str">
        <f>"(Worksheet A ln "&amp;'I&amp;M WS A - RB Support'!A42&amp;"."&amp;'I&amp;M WS A - RB Support'!J27&amp;")"</f>
        <v>(Worksheet A ln 28.(i))</v>
      </c>
      <c r="F83" s="343"/>
      <c r="G83" s="390">
        <f>-'I&amp;M WS A - RB Support'!J42</f>
        <v>-157942.435</v>
      </c>
      <c r="H83" s="361"/>
      <c r="I83" s="347" t="s">
        <v>134</v>
      </c>
      <c r="J83" s="348">
        <f>L239</f>
        <v>0.0387529968261521</v>
      </c>
      <c r="K83" s="343"/>
      <c r="L83" s="390">
        <f t="shared" si="2"/>
        <v>-6120.742682269734</v>
      </c>
      <c r="M83" s="343"/>
      <c r="N83" s="343"/>
      <c r="O83" s="325"/>
    </row>
    <row r="84" spans="2:15" ht="15.75" thickBot="1">
      <c r="B84" s="352">
        <f t="shared" si="1"/>
        <v>38</v>
      </c>
      <c r="C84" s="405"/>
      <c r="D84" s="364" t="str">
        <f>+D72</f>
        <v>  Intangible Plant</v>
      </c>
      <c r="E84" s="343" t="str">
        <f>"(Worksheet A ln "&amp;'I&amp;M WS A - RB Support'!A42&amp;"."&amp;'I&amp;M WS A - RB Support'!K27&amp;")"</f>
        <v>(Worksheet A ln 28.(j))</v>
      </c>
      <c r="F84" s="343"/>
      <c r="G84" s="397">
        <f>'I&amp;M WS A - RB Support'!K42</f>
        <v>111899439.5</v>
      </c>
      <c r="H84" s="361"/>
      <c r="I84" s="347" t="s">
        <v>134</v>
      </c>
      <c r="J84" s="348">
        <f>L239</f>
        <v>0.0387529968261521</v>
      </c>
      <c r="K84" s="343"/>
      <c r="L84" s="491">
        <f t="shared" si="2"/>
        <v>4336438.623791699</v>
      </c>
      <c r="M84" s="343"/>
      <c r="N84" s="343"/>
      <c r="O84" s="325"/>
    </row>
    <row r="85" spans="2:15" ht="15">
      <c r="B85" s="352">
        <f t="shared" si="1"/>
        <v>39</v>
      </c>
      <c r="C85" s="405"/>
      <c r="D85" s="364" t="s">
        <v>47</v>
      </c>
      <c r="E85" s="1092" t="str">
        <f>"(sum lns "&amp;B76&amp;" to "&amp;B84&amp;")"</f>
        <v>(sum lns 30 to 38)</v>
      </c>
      <c r="F85" s="699"/>
      <c r="G85" s="361">
        <f>SUM(G76:G84)</f>
        <v>2841979572.9900002</v>
      </c>
      <c r="H85" s="361"/>
      <c r="I85" s="347"/>
      <c r="J85" s="343"/>
      <c r="K85" s="361"/>
      <c r="L85" s="361">
        <f>SUM(L76:L84)</f>
        <v>531418050.8533658</v>
      </c>
      <c r="M85" s="343"/>
      <c r="N85" s="343"/>
      <c r="O85" s="325"/>
    </row>
    <row r="86" spans="2:15" ht="15">
      <c r="B86" s="352"/>
      <c r="C86" s="353"/>
      <c r="D86" s="318"/>
      <c r="E86" s="1114"/>
      <c r="F86" s="699"/>
      <c r="G86" s="361"/>
      <c r="H86" s="361"/>
      <c r="I86" s="347"/>
      <c r="J86" s="406"/>
      <c r="K86" s="343"/>
      <c r="L86" s="361"/>
      <c r="M86" s="343"/>
      <c r="N86" s="343"/>
      <c r="O86" s="325"/>
    </row>
    <row r="87" spans="2:15" ht="15">
      <c r="B87" s="352">
        <f>+B85+1</f>
        <v>40</v>
      </c>
      <c r="C87" s="353"/>
      <c r="D87" s="364" t="s">
        <v>84</v>
      </c>
      <c r="E87" s="388"/>
      <c r="F87" s="388"/>
      <c r="G87" s="361"/>
      <c r="H87" s="361"/>
      <c r="I87" s="347"/>
      <c r="J87" s="343"/>
      <c r="K87" s="343"/>
      <c r="L87" s="361"/>
      <c r="M87" s="343"/>
      <c r="N87" s="343"/>
      <c r="O87" s="325"/>
    </row>
    <row r="88" spans="2:15" ht="15">
      <c r="B88" s="352">
        <f aca="true" t="shared" si="3" ref="B88:B93">+B87+1</f>
        <v>41</v>
      </c>
      <c r="C88" s="405"/>
      <c r="D88" s="396" t="str">
        <f>+D76</f>
        <v>  Production</v>
      </c>
      <c r="E88" s="343" t="str">
        <f>" (ln "&amp;B64&amp;" + ln "&amp;B65&amp;" - ln "&amp;B76&amp;" - ln "&amp;B77&amp;")"</f>
        <v> (ln 19 + ln 20 - ln 30 - ln 31)</v>
      </c>
      <c r="F88" s="343"/>
      <c r="G88" s="361">
        <f>G64+G65-G76-G77</f>
        <v>2505173236.075</v>
      </c>
      <c r="H88" s="361"/>
      <c r="I88" s="347"/>
      <c r="J88" s="407"/>
      <c r="K88" s="343"/>
      <c r="L88" s="361">
        <f>L64+L65-L76-L77</f>
        <v>0</v>
      </c>
      <c r="M88" s="343"/>
      <c r="N88" s="343"/>
      <c r="O88" s="325"/>
    </row>
    <row r="89" spans="2:15" ht="15">
      <c r="B89" s="352">
        <f t="shared" si="3"/>
        <v>42</v>
      </c>
      <c r="C89" s="405"/>
      <c r="D89" s="396" t="str">
        <f>+D78</f>
        <v>  Transmission</v>
      </c>
      <c r="E89" s="343" t="str">
        <f>" (ln "&amp;B66&amp;" + ln "&amp;B67&amp;" - ln "&amp;B78&amp;" - ln "&amp;B79&amp;")"</f>
        <v> (ln 21 + ln 22 - ln 32 - ln 33)</v>
      </c>
      <c r="F89" s="343"/>
      <c r="G89" s="361">
        <f>+G66+G67-G78-G79</f>
        <v>955032898</v>
      </c>
      <c r="H89" s="361"/>
      <c r="I89" s="347"/>
      <c r="J89" s="404"/>
      <c r="K89" s="343"/>
      <c r="L89" s="361">
        <f>+L66+L67-L78-L79</f>
        <v>903557606.1049999</v>
      </c>
      <c r="M89" s="343"/>
      <c r="N89" s="343"/>
      <c r="O89" s="325"/>
    </row>
    <row r="90" spans="2:15" ht="15">
      <c r="B90" s="352">
        <f>+B89+1</f>
        <v>43</v>
      </c>
      <c r="C90" s="405"/>
      <c r="D90" s="396" t="str">
        <f>+D80</f>
        <v>  Distribution</v>
      </c>
      <c r="E90" s="343" t="str">
        <f>" (ln "&amp;B68&amp;" + ln "&amp;B69&amp;" - ln "&amp;B80&amp;" - ln "&amp;B81&amp;")"</f>
        <v> (ln 23 + ln 24 - ln 34 - ln 35)</v>
      </c>
      <c r="F90" s="343"/>
      <c r="G90" s="361">
        <f>+G68+G69-G80-G81</f>
        <v>1387378492.5</v>
      </c>
      <c r="H90" s="361"/>
      <c r="I90" s="347"/>
      <c r="J90" s="406"/>
      <c r="K90" s="343"/>
      <c r="L90" s="361">
        <f>+L68+L69-L80-L81</f>
        <v>0</v>
      </c>
      <c r="M90" s="343"/>
      <c r="N90" s="318"/>
      <c r="O90" s="325"/>
    </row>
    <row r="91" spans="2:15" ht="15">
      <c r="B91" s="352">
        <f t="shared" si="3"/>
        <v>44</v>
      </c>
      <c r="C91" s="405"/>
      <c r="D91" s="396" t="str">
        <f>+D82</f>
        <v>  General Plant   </v>
      </c>
      <c r="E91" s="343" t="str">
        <f>" (ln "&amp;B70&amp;" + ln "&amp;B71&amp;" - ln "&amp;B82&amp;" - ln "&amp;B83&amp;")"</f>
        <v> (ln 25 + ln 26 - ln 36 - ln 37)</v>
      </c>
      <c r="F91" s="343"/>
      <c r="G91" s="361">
        <f>+G70+G71-G82-G83</f>
        <v>101371779.435</v>
      </c>
      <c r="H91" s="361"/>
      <c r="I91" s="347"/>
      <c r="J91" s="406"/>
      <c r="K91" s="343"/>
      <c r="L91" s="361">
        <f>+L70+L71-L82-L83</f>
        <v>3928460.2467059456</v>
      </c>
      <c r="M91" s="343"/>
      <c r="N91" s="343"/>
      <c r="O91" s="325"/>
    </row>
    <row r="92" spans="2:15" ht="15.75" thickBot="1">
      <c r="B92" s="352">
        <f t="shared" si="3"/>
        <v>45</v>
      </c>
      <c r="C92" s="405"/>
      <c r="D92" s="396" t="str">
        <f>+D84</f>
        <v>  Intangible Plant</v>
      </c>
      <c r="E92" s="343" t="str">
        <f>" (ln "&amp;B72&amp;" - ln "&amp;B84&amp;")"</f>
        <v> (ln 27 - ln 38)</v>
      </c>
      <c r="F92" s="343"/>
      <c r="G92" s="397">
        <f>+G72-G84</f>
        <v>24689725</v>
      </c>
      <c r="H92" s="361"/>
      <c r="I92" s="347"/>
      <c r="J92" s="406"/>
      <c r="K92" s="343"/>
      <c r="L92" s="397">
        <f>+L72-L84</f>
        <v>956800.8345635682</v>
      </c>
      <c r="M92" s="343"/>
      <c r="N92" s="343"/>
      <c r="O92" s="325"/>
    </row>
    <row r="93" spans="2:15" ht="15.75">
      <c r="B93" s="352">
        <f t="shared" si="3"/>
        <v>46</v>
      </c>
      <c r="C93" s="405"/>
      <c r="D93" s="396" t="s">
        <v>46</v>
      </c>
      <c r="E93" s="396" t="str">
        <f>"(sum lns "&amp;B88&amp;" to "&amp;B92&amp;")"</f>
        <v>(sum lns 41 to 45)</v>
      </c>
      <c r="F93" s="343"/>
      <c r="G93" s="361">
        <f>SUM(G88:G92)</f>
        <v>4973646131.01</v>
      </c>
      <c r="H93" s="361"/>
      <c r="I93" s="492" t="s">
        <v>748</v>
      </c>
      <c r="J93" s="399">
        <f>+L93/G93</f>
        <v>0.1826512870552356</v>
      </c>
      <c r="K93" s="343"/>
      <c r="L93" s="361">
        <f>SUM(L89:L92)</f>
        <v>908442867.1862694</v>
      </c>
      <c r="M93" s="343"/>
      <c r="N93" s="343"/>
      <c r="O93" s="325"/>
    </row>
    <row r="94" spans="2:15" ht="15">
      <c r="B94" s="352"/>
      <c r="C94" s="353"/>
      <c r="D94" s="364"/>
      <c r="E94" s="343"/>
      <c r="F94" s="343"/>
      <c r="G94" s="361"/>
      <c r="H94" s="361"/>
      <c r="I94" s="423"/>
      <c r="J94" s="411"/>
      <c r="K94" s="343"/>
      <c r="L94" s="361"/>
      <c r="M94" s="343"/>
      <c r="N94" s="343"/>
      <c r="O94" s="325"/>
    </row>
    <row r="95" spans="2:15" ht="15">
      <c r="B95" s="352"/>
      <c r="C95" s="353"/>
      <c r="D95" s="318"/>
      <c r="E95" s="318"/>
      <c r="F95" s="318"/>
      <c r="G95" s="582"/>
      <c r="H95" s="582"/>
      <c r="I95" s="1113"/>
      <c r="J95" s="582"/>
      <c r="K95" s="582"/>
      <c r="L95" s="582"/>
      <c r="M95" s="412"/>
      <c r="N95" s="343"/>
      <c r="O95" s="325"/>
    </row>
    <row r="96" spans="2:15" ht="15">
      <c r="B96" s="352">
        <f>+B93+1</f>
        <v>47</v>
      </c>
      <c r="C96" s="353"/>
      <c r="D96" s="364" t="s">
        <v>328</v>
      </c>
      <c r="E96" s="343" t="s">
        <v>305</v>
      </c>
      <c r="F96" s="347"/>
      <c r="G96" s="582"/>
      <c r="H96" s="582"/>
      <c r="I96" s="1113"/>
      <c r="J96" s="582"/>
      <c r="K96" s="582"/>
      <c r="L96" s="582"/>
      <c r="M96" s="412"/>
      <c r="N96" s="343"/>
      <c r="O96" s="325"/>
    </row>
    <row r="97" spans="2:15" ht="15">
      <c r="B97" s="352">
        <f aca="true" t="shared" si="4" ref="B97:B102">+B96+1</f>
        <v>48</v>
      </c>
      <c r="C97" s="405"/>
      <c r="D97" s="396" t="s">
        <v>195</v>
      </c>
      <c r="E97" s="343" t="s">
        <v>540</v>
      </c>
      <c r="F97" s="343"/>
      <c r="G97" s="361">
        <f>-'I&amp;M WS B ADIT &amp; ITC'!I15</f>
        <v>-21219989</v>
      </c>
      <c r="H97" s="361"/>
      <c r="I97" s="347" t="s">
        <v>129</v>
      </c>
      <c r="J97" s="348"/>
      <c r="K97" s="343"/>
      <c r="L97" s="361">
        <f>'I&amp;M WS B ADIT &amp; ITC'!I18</f>
        <v>0</v>
      </c>
      <c r="M97" s="343"/>
      <c r="N97" s="343"/>
      <c r="O97" s="325"/>
    </row>
    <row r="98" spans="2:15" ht="15">
      <c r="B98" s="352">
        <f t="shared" si="4"/>
        <v>49</v>
      </c>
      <c r="C98" s="405"/>
      <c r="D98" s="396" t="s">
        <v>196</v>
      </c>
      <c r="E98" s="343" t="s">
        <v>541</v>
      </c>
      <c r="F98" s="343"/>
      <c r="G98" s="361">
        <f>-'I&amp;M WS B ADIT &amp; ITC'!I23</f>
        <v>-1289722859.265</v>
      </c>
      <c r="H98" s="361"/>
      <c r="I98" s="347" t="s">
        <v>131</v>
      </c>
      <c r="J98" s="348"/>
      <c r="K98" s="343"/>
      <c r="L98" s="361">
        <f>-'I&amp;M WS B ADIT &amp; ITC'!I26</f>
        <v>-218180325.27999997</v>
      </c>
      <c r="M98" s="343"/>
      <c r="N98" s="343"/>
      <c r="O98" s="325"/>
    </row>
    <row r="99" spans="2:15" ht="15">
      <c r="B99" s="352">
        <f t="shared" si="4"/>
        <v>50</v>
      </c>
      <c r="C99" s="405"/>
      <c r="D99" s="396" t="s">
        <v>197</v>
      </c>
      <c r="E99" s="343" t="s">
        <v>542</v>
      </c>
      <c r="F99" s="343"/>
      <c r="G99" s="361">
        <f>-'I&amp;M WS B ADIT &amp; ITC'!I31</f>
        <v>-881364580.8399999</v>
      </c>
      <c r="H99" s="361"/>
      <c r="I99" s="347" t="s">
        <v>131</v>
      </c>
      <c r="J99" s="348"/>
      <c r="K99" s="343"/>
      <c r="L99" s="361">
        <f>-'I&amp;M WS B ADIT &amp; ITC'!I34</f>
        <v>-7203117.86500001</v>
      </c>
      <c r="M99" s="343"/>
      <c r="N99" s="343"/>
      <c r="O99" s="325"/>
    </row>
    <row r="100" spans="2:15" ht="15">
      <c r="B100" s="352">
        <f t="shared" si="4"/>
        <v>51</v>
      </c>
      <c r="C100" s="405"/>
      <c r="D100" s="396" t="s">
        <v>198</v>
      </c>
      <c r="E100" s="343" t="s">
        <v>543</v>
      </c>
      <c r="F100" s="343"/>
      <c r="G100" s="361">
        <f>'I&amp;M WS B ADIT &amp; ITC'!I39</f>
        <v>858722735.7149999</v>
      </c>
      <c r="H100" s="361"/>
      <c r="I100" s="347" t="s">
        <v>131</v>
      </c>
      <c r="J100" s="348"/>
      <c r="K100" s="343"/>
      <c r="L100" s="361">
        <f>'I&amp;M WS B ADIT &amp; ITC'!I42</f>
        <v>13571291.059999853</v>
      </c>
      <c r="M100" s="343"/>
      <c r="N100" s="343"/>
      <c r="O100" s="325"/>
    </row>
    <row r="101" spans="2:15" ht="15.75" thickBot="1">
      <c r="B101" s="352">
        <f t="shared" si="4"/>
        <v>52</v>
      </c>
      <c r="C101" s="405"/>
      <c r="D101" s="477" t="s">
        <v>136</v>
      </c>
      <c r="E101" s="343" t="s">
        <v>544</v>
      </c>
      <c r="F101" s="318"/>
      <c r="G101" s="397">
        <f>-'I&amp;M WS B ADIT &amp; ITC'!I49</f>
        <v>0</v>
      </c>
      <c r="H101" s="361"/>
      <c r="I101" s="347" t="s">
        <v>131</v>
      </c>
      <c r="J101" s="348"/>
      <c r="K101" s="343"/>
      <c r="L101" s="397">
        <f>-'I&amp;M WS B ADIT &amp; ITC'!I50</f>
        <v>0</v>
      </c>
      <c r="M101" s="413"/>
      <c r="N101" s="343"/>
      <c r="O101" s="325"/>
    </row>
    <row r="102" spans="2:14" ht="15">
      <c r="B102" s="352">
        <f t="shared" si="4"/>
        <v>53</v>
      </c>
      <c r="C102" s="405"/>
      <c r="D102" s="396" t="s">
        <v>93</v>
      </c>
      <c r="E102" s="396" t="str">
        <f>"(sum lns "&amp;B97&amp;" to "&amp;B101&amp;")"</f>
        <v>(sum lns 48 to 52)</v>
      </c>
      <c r="F102" s="343"/>
      <c r="G102" s="361">
        <f>SUM(G97:G101)</f>
        <v>-1333584693.39</v>
      </c>
      <c r="H102" s="582"/>
      <c r="I102" s="347"/>
      <c r="J102" s="415"/>
      <c r="K102" s="343"/>
      <c r="L102" s="361">
        <f>SUM(L97:L101)</f>
        <v>-211812152.08500013</v>
      </c>
      <c r="M102" s="343"/>
      <c r="N102" s="416"/>
    </row>
    <row r="103" spans="2:14" ht="15">
      <c r="B103" s="352"/>
      <c r="C103" s="353"/>
      <c r="D103" s="396"/>
      <c r="E103" s="343"/>
      <c r="F103" s="343"/>
      <c r="G103" s="361"/>
      <c r="H103" s="582"/>
      <c r="I103" s="347"/>
      <c r="J103" s="406"/>
      <c r="K103" s="343"/>
      <c r="L103" s="361"/>
      <c r="M103" s="343"/>
      <c r="N103" s="318"/>
    </row>
    <row r="104" spans="2:14" ht="15">
      <c r="B104" s="352">
        <f>+B102+1</f>
        <v>54</v>
      </c>
      <c r="C104" s="353"/>
      <c r="D104" s="396" t="s">
        <v>207</v>
      </c>
      <c r="E104" s="343" t="str">
        <f>"(Worksheet A ln "&amp;'I&amp;M WS A - RB Support'!A69&amp;"."&amp;'I&amp;M WS A - RB Support'!F68&amp;" &amp; "&amp;"ln "&amp;'I&amp;M WS A - RB Support'!A71&amp;"."&amp;'I&amp;M WS A - RB Support'!F68&amp;")"</f>
        <v>(Worksheet A ln 44.(e) &amp; ln 45.(e))</v>
      </c>
      <c r="F104" s="343"/>
      <c r="G104" s="361">
        <f>'I&amp;M WS A - RB Support'!F69</f>
        <v>3543249.07</v>
      </c>
      <c r="H104" s="582"/>
      <c r="I104" s="347" t="s">
        <v>131</v>
      </c>
      <c r="J104" s="348"/>
      <c r="K104" s="343"/>
      <c r="L104" s="361">
        <f>'I&amp;M WS A - RB Support'!F71</f>
        <v>208360</v>
      </c>
      <c r="M104" s="343"/>
      <c r="N104" s="318"/>
    </row>
    <row r="105" spans="2:14" ht="15">
      <c r="B105" s="352"/>
      <c r="C105" s="353"/>
      <c r="D105" s="396"/>
      <c r="E105" s="343"/>
      <c r="F105" s="343"/>
      <c r="G105" s="361"/>
      <c r="H105" s="582"/>
      <c r="I105" s="347"/>
      <c r="J105" s="348"/>
      <c r="K105" s="343"/>
      <c r="L105" s="361"/>
      <c r="M105" s="343"/>
      <c r="N105" s="318"/>
    </row>
    <row r="106" spans="2:14" ht="15">
      <c r="B106" s="352">
        <f>+B104+1</f>
        <v>55</v>
      </c>
      <c r="C106" s="353"/>
      <c r="D106" s="396" t="s">
        <v>329</v>
      </c>
      <c r="E106" s="343" t="str">
        <f>"(Worksheet A ln "&amp;'I&amp;M WS A - RB Support'!A80&amp;"."&amp;'I&amp;M WS A - RB Support'!F68&amp;")"</f>
        <v>(Worksheet A ln 51.(e))</v>
      </c>
      <c r="F106" s="343"/>
      <c r="G106" s="361">
        <f>'I&amp;M WS A - RB Support'!F80</f>
        <v>0</v>
      </c>
      <c r="H106" s="582"/>
      <c r="I106" s="347" t="s">
        <v>131</v>
      </c>
      <c r="J106" s="343"/>
      <c r="K106" s="343"/>
      <c r="L106" s="361">
        <f>+G106</f>
        <v>0</v>
      </c>
      <c r="M106" s="343"/>
      <c r="N106" s="318"/>
    </row>
    <row r="107" spans="2:14" ht="15">
      <c r="B107" s="352"/>
      <c r="C107" s="353"/>
      <c r="D107" s="396"/>
      <c r="E107" s="343"/>
      <c r="F107" s="343"/>
      <c r="G107" s="361"/>
      <c r="H107" s="582"/>
      <c r="I107" s="347"/>
      <c r="J107" s="343"/>
      <c r="K107" s="343"/>
      <c r="L107" s="361"/>
      <c r="M107" s="343"/>
      <c r="N107" s="318"/>
    </row>
    <row r="108" spans="2:14" ht="14.25" customHeight="1">
      <c r="B108" s="352">
        <f>+B106+1</f>
        <v>56</v>
      </c>
      <c r="C108" s="405"/>
      <c r="D108" s="472" t="s">
        <v>736</v>
      </c>
      <c r="E108" s="343" t="str">
        <f>"(Worksheet A ln "&amp;'I&amp;M WS A - RB Support'!A87&amp;"."&amp;'I&amp;M WS A - RB Support'!F68&amp;")"</f>
        <v>(Worksheet A ln 54.(e))</v>
      </c>
      <c r="F108" s="343"/>
      <c r="G108" s="346">
        <f>-'I&amp;M WS A - RB Support'!F87</f>
        <v>-91512.28</v>
      </c>
      <c r="H108" s="361"/>
      <c r="I108" s="347" t="s">
        <v>134</v>
      </c>
      <c r="J108" s="348">
        <f>L239</f>
        <v>0.0387529968261521</v>
      </c>
      <c r="K108" s="343"/>
      <c r="L108" s="346">
        <f>G108*J108</f>
        <v>-3546.3750963939424</v>
      </c>
      <c r="M108" s="343"/>
      <c r="N108" s="318"/>
    </row>
    <row r="109" spans="2:14" ht="15">
      <c r="B109" s="352"/>
      <c r="C109" s="353"/>
      <c r="D109" s="396"/>
      <c r="E109" s="343"/>
      <c r="F109" s="343"/>
      <c r="G109" s="361"/>
      <c r="H109" s="582"/>
      <c r="I109" s="347"/>
      <c r="J109" s="343"/>
      <c r="K109" s="343"/>
      <c r="L109" s="361"/>
      <c r="M109" s="343"/>
      <c r="N109" s="318"/>
    </row>
    <row r="110" spans="2:14" ht="15">
      <c r="B110" s="352">
        <f>+B108+1</f>
        <v>57</v>
      </c>
      <c r="C110" s="353"/>
      <c r="D110" s="396" t="s">
        <v>94</v>
      </c>
      <c r="E110" s="343" t="s">
        <v>500</v>
      </c>
      <c r="F110" s="343"/>
      <c r="G110" s="361"/>
      <c r="H110" s="582"/>
      <c r="I110" s="347"/>
      <c r="J110" s="343"/>
      <c r="K110" s="343"/>
      <c r="L110" s="361"/>
      <c r="M110" s="343"/>
      <c r="N110" s="318"/>
    </row>
    <row r="111" spans="2:14" ht="15">
      <c r="B111" s="352">
        <f aca="true" t="shared" si="5" ref="B111:B118">+B110+1</f>
        <v>58</v>
      </c>
      <c r="C111" s="405"/>
      <c r="D111" s="396" t="s">
        <v>206</v>
      </c>
      <c r="E111" s="318" t="str">
        <f>"(1/8 * ln "&amp;B147&amp;")"</f>
        <v>(1/8 * ln 78)</v>
      </c>
      <c r="F111" s="318"/>
      <c r="G111" s="361">
        <f>+G147/8</f>
        <v>2116055.875</v>
      </c>
      <c r="H111" s="343"/>
      <c r="I111" s="347"/>
      <c r="J111" s="406"/>
      <c r="K111" s="343"/>
      <c r="L111" s="361">
        <f>+L147/8</f>
        <v>2032665.5269858777</v>
      </c>
      <c r="M111" s="338"/>
      <c r="N111" s="318"/>
    </row>
    <row r="112" spans="2:14" ht="15">
      <c r="B112" s="352">
        <f t="shared" si="5"/>
        <v>59</v>
      </c>
      <c r="C112" s="405"/>
      <c r="D112" s="396" t="s">
        <v>337</v>
      </c>
      <c r="E112" s="343" t="s">
        <v>545</v>
      </c>
      <c r="F112" s="343"/>
      <c r="G112" s="361">
        <f>'I&amp;M WS C  - Working Capital'!I15</f>
        <v>726820.5</v>
      </c>
      <c r="H112" s="582"/>
      <c r="I112" s="347" t="s">
        <v>122</v>
      </c>
      <c r="J112" s="348">
        <f>L229</f>
        <v>0.9605916133882229</v>
      </c>
      <c r="K112" s="343"/>
      <c r="L112" s="361">
        <f>+J112*G112</f>
        <v>698177.6767386348</v>
      </c>
      <c r="M112" s="343"/>
      <c r="N112" s="318"/>
    </row>
    <row r="113" spans="2:14" ht="15">
      <c r="B113" s="352">
        <f t="shared" si="5"/>
        <v>60</v>
      </c>
      <c r="C113" s="405"/>
      <c r="D113" s="396" t="s">
        <v>338</v>
      </c>
      <c r="E113" s="343" t="s">
        <v>546</v>
      </c>
      <c r="F113" s="343"/>
      <c r="G113" s="361">
        <f>'I&amp;M WS C  - Working Capital'!I17</f>
        <v>266634.5</v>
      </c>
      <c r="H113" s="582"/>
      <c r="I113" s="347" t="s">
        <v>134</v>
      </c>
      <c r="J113" s="348">
        <f>L239</f>
        <v>0.0387529968261521</v>
      </c>
      <c r="K113" s="343"/>
      <c r="L113" s="361">
        <f>+J113*G113</f>
        <v>10332.885932242652</v>
      </c>
      <c r="M113" s="343"/>
      <c r="N113" s="318"/>
    </row>
    <row r="114" spans="2:14" ht="15">
      <c r="B114" s="352">
        <f t="shared" si="5"/>
        <v>61</v>
      </c>
      <c r="C114" s="405"/>
      <c r="D114" s="396" t="s">
        <v>532</v>
      </c>
      <c r="E114" s="343" t="s">
        <v>547</v>
      </c>
      <c r="F114" s="343"/>
      <c r="G114" s="361">
        <f>'I&amp;M WS C  - Working Capital'!I19</f>
        <v>0</v>
      </c>
      <c r="H114" s="582"/>
      <c r="I114" s="347" t="s">
        <v>747</v>
      </c>
      <c r="J114" s="348">
        <f>J73</f>
        <v>0.18422848951207083</v>
      </c>
      <c r="K114" s="343"/>
      <c r="L114" s="361">
        <f>+J114*G114</f>
        <v>0</v>
      </c>
      <c r="M114" s="343"/>
      <c r="N114" s="318"/>
    </row>
    <row r="115" spans="2:14" ht="15">
      <c r="B115" s="352">
        <f t="shared" si="5"/>
        <v>62</v>
      </c>
      <c r="C115" s="405"/>
      <c r="D115" s="396" t="s">
        <v>210</v>
      </c>
      <c r="E115" s="343" t="s">
        <v>577</v>
      </c>
      <c r="F115" s="343"/>
      <c r="G115" s="361">
        <f>'I&amp;M WS C  - Working Capital'!J29</f>
        <v>146094077</v>
      </c>
      <c r="H115" s="582"/>
      <c r="I115" s="347" t="s">
        <v>134</v>
      </c>
      <c r="J115" s="348">
        <f>L239</f>
        <v>0.0387529968261521</v>
      </c>
      <c r="K115" s="343"/>
      <c r="L115" s="361">
        <f>+J115*G115</f>
        <v>5661583.302300621</v>
      </c>
      <c r="M115" s="343"/>
      <c r="N115" s="318"/>
    </row>
    <row r="116" spans="2:14" ht="15">
      <c r="B116" s="352">
        <f t="shared" si="5"/>
        <v>63</v>
      </c>
      <c r="C116" s="405"/>
      <c r="D116" s="396" t="s">
        <v>211</v>
      </c>
      <c r="E116" s="343" t="s">
        <v>576</v>
      </c>
      <c r="F116" s="343"/>
      <c r="G116" s="361">
        <f>'I&amp;M WS C  - Working Capital'!I29</f>
        <v>5040896.5</v>
      </c>
      <c r="H116" s="582"/>
      <c r="I116" s="347" t="s">
        <v>747</v>
      </c>
      <c r="J116" s="348">
        <f>J73</f>
        <v>0.18422848951207083</v>
      </c>
      <c r="K116" s="343"/>
      <c r="L116" s="361">
        <f>+G116*J116</f>
        <v>928676.7479816845</v>
      </c>
      <c r="M116" s="343"/>
      <c r="N116" s="318"/>
    </row>
    <row r="117" spans="2:14" ht="15">
      <c r="B117" s="352">
        <f t="shared" si="5"/>
        <v>64</v>
      </c>
      <c r="C117" s="405"/>
      <c r="D117" s="396" t="s">
        <v>307</v>
      </c>
      <c r="E117" s="343" t="s">
        <v>578</v>
      </c>
      <c r="F117" s="343"/>
      <c r="G117" s="361">
        <f>'I&amp;M WS C  - Working Capital'!G29</f>
        <v>0</v>
      </c>
      <c r="H117" s="582"/>
      <c r="I117" s="347" t="s">
        <v>131</v>
      </c>
      <c r="J117" s="348">
        <v>1</v>
      </c>
      <c r="K117" s="343"/>
      <c r="L117" s="361">
        <f>+G117*J117</f>
        <v>0</v>
      </c>
      <c r="M117" s="343"/>
      <c r="N117" s="318"/>
    </row>
    <row r="118" spans="2:14" ht="15.75" thickBot="1">
      <c r="B118" s="352">
        <f t="shared" si="5"/>
        <v>65</v>
      </c>
      <c r="C118" s="405"/>
      <c r="D118" s="396" t="s">
        <v>106</v>
      </c>
      <c r="E118" s="343" t="s">
        <v>579</v>
      </c>
      <c r="F118" s="343"/>
      <c r="G118" s="397">
        <f>'I&amp;M WS C  - Working Capital'!E29</f>
        <v>-142944175.5</v>
      </c>
      <c r="H118" s="361"/>
      <c r="I118" s="347" t="s">
        <v>129</v>
      </c>
      <c r="J118" s="348">
        <v>0</v>
      </c>
      <c r="K118" s="343"/>
      <c r="L118" s="397">
        <f>+G118*J118</f>
        <v>0</v>
      </c>
      <c r="M118" s="343"/>
      <c r="N118" s="318"/>
    </row>
    <row r="119" spans="2:14" ht="15">
      <c r="B119" s="352">
        <f>+B118+1</f>
        <v>66</v>
      </c>
      <c r="C119" s="405"/>
      <c r="D119" s="396" t="s">
        <v>45</v>
      </c>
      <c r="E119" s="396" t="str">
        <f>"(sum lns "&amp;B111&amp;" to "&amp;B118&amp;")"</f>
        <v>(sum lns 58 to 65)</v>
      </c>
      <c r="F119" s="338"/>
      <c r="G119" s="361">
        <f>SUM(G111:G118)</f>
        <v>11300308.875</v>
      </c>
      <c r="H119" s="338"/>
      <c r="I119" s="353"/>
      <c r="J119" s="338"/>
      <c r="K119" s="338"/>
      <c r="L119" s="361">
        <f>SUM(L111:L118)</f>
        <v>9331436.13993906</v>
      </c>
      <c r="M119" s="338"/>
      <c r="N119" s="318"/>
    </row>
    <row r="120" spans="2:14" ht="15">
      <c r="B120" s="352"/>
      <c r="C120" s="353"/>
      <c r="D120" s="396"/>
      <c r="E120" s="338"/>
      <c r="F120" s="338"/>
      <c r="G120" s="361"/>
      <c r="H120" s="338"/>
      <c r="I120" s="353"/>
      <c r="J120" s="338"/>
      <c r="K120" s="338"/>
      <c r="L120" s="361"/>
      <c r="M120" s="338"/>
      <c r="N120" s="318"/>
    </row>
    <row r="121" spans="2:14" ht="15">
      <c r="B121" s="352">
        <f>+B119+1</f>
        <v>67</v>
      </c>
      <c r="C121" s="353"/>
      <c r="D121" s="396" t="s">
        <v>32</v>
      </c>
      <c r="E121" s="364" t="s">
        <v>548</v>
      </c>
      <c r="F121" s="338"/>
      <c r="G121" s="361">
        <f>'I&amp;M WS D IPP Credits'!C21</f>
        <v>-3267006.5</v>
      </c>
      <c r="H121" s="338"/>
      <c r="I121" s="469" t="s">
        <v>131</v>
      </c>
      <c r="J121" s="348">
        <v>1</v>
      </c>
      <c r="K121" s="343"/>
      <c r="L121" s="361">
        <f>+J121*G121</f>
        <v>-3267006.5</v>
      </c>
      <c r="M121" s="338"/>
      <c r="N121" s="318"/>
    </row>
    <row r="122" spans="2:14" ht="15.75" thickBot="1">
      <c r="B122" s="352"/>
      <c r="C122" s="318"/>
      <c r="D122" s="477"/>
      <c r="E122" s="343"/>
      <c r="F122" s="343"/>
      <c r="G122" s="397"/>
      <c r="H122" s="343"/>
      <c r="I122" s="347"/>
      <c r="J122" s="343"/>
      <c r="K122" s="343"/>
      <c r="L122" s="397"/>
      <c r="M122" s="343"/>
      <c r="N122" s="318"/>
    </row>
    <row r="123" spans="2:14" ht="15.75" thickBot="1">
      <c r="B123" s="352">
        <f>+B121+1</f>
        <v>68</v>
      </c>
      <c r="C123" s="353"/>
      <c r="D123" s="364" t="str">
        <f>"RATE BASE  (sum lns "&amp;B93&amp;", "&amp;B102&amp;", "&amp;B104&amp;", "&amp;B106&amp;", "&amp;B108&amp;", "&amp;B119&amp;", "&amp;B121&amp;")"</f>
        <v>RATE BASE  (sum lns 46, 53, 54, 55, 56, 66, 67)</v>
      </c>
      <c r="E123" s="343"/>
      <c r="F123" s="343"/>
      <c r="G123" s="1112">
        <f>+G119+G104+G102+G93+G121+G106+G108</f>
        <v>3651546476.785</v>
      </c>
      <c r="H123" s="343"/>
      <c r="I123" s="343"/>
      <c r="J123" s="406"/>
      <c r="K123" s="343"/>
      <c r="L123" s="1112">
        <f>+L119+L104+L102+L93+L121+L106+L108</f>
        <v>702899958.3661119</v>
      </c>
      <c r="M123" s="343"/>
      <c r="N123" s="318"/>
    </row>
    <row r="124" spans="2:14" ht="16.5" thickTop="1">
      <c r="B124" s="327"/>
      <c r="C124" s="368"/>
      <c r="D124" s="368"/>
      <c r="E124" s="368"/>
      <c r="F124" s="368"/>
      <c r="G124" s="368"/>
      <c r="H124" s="368"/>
      <c r="I124" s="317"/>
      <c r="J124" s="317"/>
      <c r="K124" s="317"/>
      <c r="L124" s="1071"/>
      <c r="M124" s="318"/>
      <c r="N124" s="318"/>
    </row>
    <row r="125" spans="2:14" ht="15">
      <c r="B125" s="420"/>
      <c r="C125" s="328"/>
      <c r="D125" s="319"/>
      <c r="E125" s="325"/>
      <c r="F125" s="325"/>
      <c r="G125" s="325"/>
      <c r="H125" s="325"/>
      <c r="I125" s="325"/>
      <c r="J125" s="325"/>
      <c r="K125" s="325"/>
      <c r="L125" s="325"/>
      <c r="M125" s="343"/>
      <c r="N125" s="318"/>
    </row>
    <row r="126" spans="2:14" ht="15">
      <c r="B126" s="420"/>
      <c r="C126" s="328"/>
      <c r="D126" s="319"/>
      <c r="E126" s="325"/>
      <c r="F126" s="356" t="str">
        <f>F52</f>
        <v>AEP East Companies </v>
      </c>
      <c r="G126" s="356"/>
      <c r="H126" s="325"/>
      <c r="I126" s="325"/>
      <c r="J126" s="325"/>
      <c r="K126" s="325"/>
      <c r="L126" s="325"/>
      <c r="M126" s="421"/>
      <c r="N126" s="318"/>
    </row>
    <row r="127" spans="2:14" ht="15">
      <c r="B127" s="420"/>
      <c r="C127" s="328"/>
      <c r="D127" s="319"/>
      <c r="E127" s="325"/>
      <c r="F127" s="356" t="str">
        <f>F53</f>
        <v>Transmission Cost of Service Formula Rate</v>
      </c>
      <c r="G127" s="356"/>
      <c r="H127" s="325"/>
      <c r="I127" s="325"/>
      <c r="J127" s="325"/>
      <c r="K127" s="325"/>
      <c r="L127" s="325"/>
      <c r="M127" s="421"/>
      <c r="N127" s="318"/>
    </row>
    <row r="128" spans="2:14" ht="15">
      <c r="B128" s="420"/>
      <c r="C128" s="328"/>
      <c r="E128" s="325"/>
      <c r="F128" s="356" t="str">
        <f>F54</f>
        <v>Utilizing  Actual/Projected FERC Form 1 Data</v>
      </c>
      <c r="G128" s="325"/>
      <c r="H128" s="325"/>
      <c r="I128" s="325"/>
      <c r="J128" s="325"/>
      <c r="K128" s="325"/>
      <c r="L128" s="325"/>
      <c r="M128" s="378"/>
      <c r="N128" s="318"/>
    </row>
    <row r="129" spans="2:14" ht="15">
      <c r="B129" s="420"/>
      <c r="C129" s="328"/>
      <c r="E129" s="325"/>
      <c r="F129" s="356"/>
      <c r="G129" s="325"/>
      <c r="H129" s="325"/>
      <c r="I129" s="325"/>
      <c r="J129" s="325"/>
      <c r="K129" s="325"/>
      <c r="L129" s="325"/>
      <c r="M129" s="343"/>
      <c r="N129" s="318"/>
    </row>
    <row r="130" spans="2:14" ht="15">
      <c r="B130" s="420"/>
      <c r="C130" s="328"/>
      <c r="E130" s="422"/>
      <c r="F130" s="356" t="str">
        <f>F56</f>
        <v>INDIANA MICHIGAN POWER COMPANY</v>
      </c>
      <c r="G130" s="422"/>
      <c r="H130" s="423"/>
      <c r="I130" s="422"/>
      <c r="J130" s="422"/>
      <c r="K130" s="422"/>
      <c r="M130" s="343"/>
      <c r="N130" s="318"/>
    </row>
    <row r="131" spans="2:14" ht="15">
      <c r="B131" s="420"/>
      <c r="C131" s="328"/>
      <c r="E131" s="422"/>
      <c r="F131" s="356"/>
      <c r="G131" s="422"/>
      <c r="H131" s="423"/>
      <c r="I131" s="422"/>
      <c r="J131" s="422"/>
      <c r="K131" s="422"/>
      <c r="M131" s="343"/>
      <c r="N131" s="318"/>
    </row>
    <row r="132" spans="2:14" ht="15">
      <c r="B132" s="420"/>
      <c r="D132" s="328" t="s">
        <v>123</v>
      </c>
      <c r="E132" s="328" t="s">
        <v>124</v>
      </c>
      <c r="F132" s="328"/>
      <c r="G132" s="328" t="s">
        <v>125</v>
      </c>
      <c r="H132" s="343"/>
      <c r="I132" s="1470" t="s">
        <v>126</v>
      </c>
      <c r="J132" s="1474"/>
      <c r="K132" s="325"/>
      <c r="L132" s="329" t="s">
        <v>127</v>
      </c>
      <c r="M132" s="343"/>
      <c r="N132" s="425"/>
    </row>
    <row r="133" spans="2:15" ht="15.75">
      <c r="B133" s="420"/>
      <c r="D133" s="328"/>
      <c r="E133" s="328"/>
      <c r="F133" s="328"/>
      <c r="G133" s="328"/>
      <c r="H133" s="343"/>
      <c r="I133" s="325"/>
      <c r="J133" s="380"/>
      <c r="K133" s="325"/>
      <c r="M133" s="343"/>
      <c r="N133" s="426"/>
      <c r="O133" s="427"/>
    </row>
    <row r="134" spans="2:15" ht="15.75">
      <c r="B134" s="420"/>
      <c r="C134" s="328"/>
      <c r="D134" s="428" t="s">
        <v>102</v>
      </c>
      <c r="E134" s="382" t="str">
        <f>E60</f>
        <v>Data Sources</v>
      </c>
      <c r="F134" s="383"/>
      <c r="G134" s="325"/>
      <c r="H134" s="343"/>
      <c r="I134" s="325"/>
      <c r="J134" s="328"/>
      <c r="K134" s="325"/>
      <c r="L134" s="382" t="str">
        <f>L60</f>
        <v>Total</v>
      </c>
      <c r="M134" s="318"/>
      <c r="N134" s="426"/>
      <c r="O134" s="427"/>
    </row>
    <row r="135" spans="2:15" ht="15.75">
      <c r="B135" s="420"/>
      <c r="C135" s="335"/>
      <c r="D135" s="385" t="s">
        <v>103</v>
      </c>
      <c r="E135" s="429" t="str">
        <f>E61</f>
        <v>(See "General Notes")</v>
      </c>
      <c r="F135" s="325"/>
      <c r="G135" s="429" t="str">
        <f>G61</f>
        <v>TO Total</v>
      </c>
      <c r="H135" s="430"/>
      <c r="I135" s="1472" t="str">
        <f>I61</f>
        <v>Allocator</v>
      </c>
      <c r="J135" s="1473"/>
      <c r="K135" s="387"/>
      <c r="L135" s="429" t="str">
        <f>L61</f>
        <v>Transmission</v>
      </c>
      <c r="M135" s="343"/>
      <c r="N135" s="426"/>
      <c r="O135" s="427"/>
    </row>
    <row r="136" spans="2:14" ht="15.75">
      <c r="B136" s="327" t="str">
        <f>B62</f>
        <v>Line</v>
      </c>
      <c r="D136" s="319"/>
      <c r="E136" s="325"/>
      <c r="F136" s="325"/>
      <c r="G136" s="385"/>
      <c r="H136" s="431"/>
      <c r="I136" s="428"/>
      <c r="K136" s="432"/>
      <c r="L136" s="385"/>
      <c r="M136" s="343"/>
      <c r="N136" s="318"/>
    </row>
    <row r="137" spans="2:14" ht="15">
      <c r="B137" s="327" t="str">
        <f>B63</f>
        <v>No.</v>
      </c>
      <c r="C137" s="328"/>
      <c r="D137" s="319" t="s">
        <v>104</v>
      </c>
      <c r="E137" s="325"/>
      <c r="F137" s="325"/>
      <c r="G137" s="325"/>
      <c r="H137" s="343"/>
      <c r="I137" s="356"/>
      <c r="J137" s="325"/>
      <c r="K137" s="325"/>
      <c r="L137" s="325"/>
      <c r="M137" s="343"/>
      <c r="N137" s="318"/>
    </row>
    <row r="138" spans="2:14" ht="15">
      <c r="B138" s="327">
        <f>+B123+1</f>
        <v>69</v>
      </c>
      <c r="C138" s="328"/>
      <c r="D138" s="319" t="s">
        <v>128</v>
      </c>
      <c r="E138" s="325" t="s">
        <v>10</v>
      </c>
      <c r="F138" s="325"/>
      <c r="G138" s="832">
        <v>1031198723</v>
      </c>
      <c r="H138" s="343"/>
      <c r="I138" s="356"/>
      <c r="J138" s="348"/>
      <c r="K138" s="325"/>
      <c r="L138" s="361"/>
      <c r="M138" s="343"/>
      <c r="N138" s="318"/>
    </row>
    <row r="139" spans="2:14" ht="15">
      <c r="B139" s="327">
        <f>+B138+1</f>
        <v>70</v>
      </c>
      <c r="C139" s="328"/>
      <c r="D139" s="364" t="s">
        <v>132</v>
      </c>
      <c r="E139" s="325" t="s">
        <v>11</v>
      </c>
      <c r="F139" s="343"/>
      <c r="G139" s="832">
        <v>67239411</v>
      </c>
      <c r="H139" s="343"/>
      <c r="I139" s="356"/>
      <c r="J139" s="348"/>
      <c r="K139" s="325"/>
      <c r="L139" s="361"/>
      <c r="M139" s="343"/>
      <c r="N139" s="318"/>
    </row>
    <row r="140" spans="2:14" ht="15">
      <c r="B140" s="327">
        <f aca="true" t="shared" si="6" ref="B140:B145">+B139+1</f>
        <v>71</v>
      </c>
      <c r="C140" s="328"/>
      <c r="D140" s="364" t="s">
        <v>248</v>
      </c>
      <c r="E140" s="325" t="s">
        <v>204</v>
      </c>
      <c r="F140" s="343"/>
      <c r="G140" s="832">
        <f>15024196+25384052+211168</f>
        <v>40619416</v>
      </c>
      <c r="H140" s="343"/>
      <c r="I140" s="347"/>
      <c r="J140" s="348"/>
      <c r="K140" s="343"/>
      <c r="L140" s="361"/>
      <c r="M140" s="343"/>
      <c r="N140" s="318"/>
    </row>
    <row r="141" spans="2:14" ht="15">
      <c r="B141" s="327">
        <f t="shared" si="6"/>
        <v>72</v>
      </c>
      <c r="C141" s="328"/>
      <c r="D141" s="364" t="s">
        <v>249</v>
      </c>
      <c r="E141" s="325" t="s">
        <v>419</v>
      </c>
      <c r="F141" s="343"/>
      <c r="G141" s="832">
        <v>4948588</v>
      </c>
      <c r="H141" s="343"/>
      <c r="I141" s="347"/>
      <c r="J141" s="348"/>
      <c r="K141" s="343"/>
      <c r="L141" s="361"/>
      <c r="M141" s="343"/>
      <c r="N141" s="318"/>
    </row>
    <row r="142" spans="2:15" ht="15.75" thickBot="1">
      <c r="B142" s="327">
        <f t="shared" si="6"/>
        <v>73</v>
      </c>
      <c r="C142" s="328"/>
      <c r="D142" s="364" t="s">
        <v>137</v>
      </c>
      <c r="E142" s="325" t="s">
        <v>418</v>
      </c>
      <c r="F142" s="343"/>
      <c r="G142" s="833">
        <v>140880414</v>
      </c>
      <c r="H142" s="361"/>
      <c r="I142" s="368"/>
      <c r="J142" s="368"/>
      <c r="K142" s="330"/>
      <c r="L142" s="330"/>
      <c r="M142" s="338"/>
      <c r="N142" s="343"/>
      <c r="O142" s="325"/>
    </row>
    <row r="143" spans="2:15" ht="15">
      <c r="B143" s="327">
        <f t="shared" si="6"/>
        <v>74</v>
      </c>
      <c r="C143" s="328"/>
      <c r="D143" s="364" t="s">
        <v>250</v>
      </c>
      <c r="E143" s="343" t="str">
        <f>"(sum lns "&amp;B138&amp;"  to "&amp;B142&amp;")"</f>
        <v>(sum lns 69  to 73)</v>
      </c>
      <c r="F143" s="343"/>
      <c r="G143" s="361">
        <f>SUM(G138:G142)</f>
        <v>1284886552</v>
      </c>
      <c r="H143" s="361"/>
      <c r="I143" s="368"/>
      <c r="J143" s="368"/>
      <c r="K143" s="330"/>
      <c r="L143" s="330"/>
      <c r="M143" s="338"/>
      <c r="N143" s="343"/>
      <c r="O143" s="325"/>
    </row>
    <row r="144" spans="2:15" ht="15">
      <c r="B144" s="327">
        <f t="shared" si="6"/>
        <v>75</v>
      </c>
      <c r="C144" s="328"/>
      <c r="D144" s="364" t="s">
        <v>330</v>
      </c>
      <c r="E144" s="343" t="str">
        <f>"(Note G) (Worksheet F, ln "&amp;'WS F Misc Exp'!A31&amp;".C)"</f>
        <v>(Note G) (Worksheet F, ln 14.C)</v>
      </c>
      <c r="F144" s="343"/>
      <c r="G144" s="361">
        <f>'WS F Misc Exp'!D31</f>
        <v>6506185</v>
      </c>
      <c r="H144" s="361"/>
      <c r="I144" s="368"/>
      <c r="J144" s="368"/>
      <c r="K144" s="330"/>
      <c r="L144" s="330"/>
      <c r="M144" s="338"/>
      <c r="N144" s="343"/>
      <c r="O144" s="325"/>
    </row>
    <row r="145" spans="2:15" ht="15">
      <c r="B145" s="327">
        <f t="shared" si="6"/>
        <v>76</v>
      </c>
      <c r="C145" s="328"/>
      <c r="D145" s="364" t="s">
        <v>23</v>
      </c>
      <c r="E145" s="343" t="s">
        <v>101</v>
      </c>
      <c r="F145" s="343"/>
      <c r="G145" s="832">
        <v>117445782</v>
      </c>
      <c r="H145" s="361"/>
      <c r="I145" s="368"/>
      <c r="J145" s="368"/>
      <c r="K145" s="330"/>
      <c r="L145" s="330"/>
      <c r="M145" s="338"/>
      <c r="N145" s="343"/>
      <c r="O145" s="325"/>
    </row>
    <row r="146" spans="2:15" ht="15.75" thickBot="1">
      <c r="B146" s="327">
        <f>+B145+1</f>
        <v>77</v>
      </c>
      <c r="C146" s="353"/>
      <c r="D146" s="364" t="s">
        <v>334</v>
      </c>
      <c r="E146" s="343" t="s">
        <v>482</v>
      </c>
      <c r="F146" s="343"/>
      <c r="G146" s="397">
        <f>+'WS F Misc Exp'!D19</f>
        <v>0</v>
      </c>
      <c r="H146" s="361"/>
      <c r="I146" s="414"/>
      <c r="J146" s="414"/>
      <c r="K146" s="330"/>
      <c r="L146" s="330"/>
      <c r="M146" s="338"/>
      <c r="N146" s="343"/>
      <c r="O146" s="325"/>
    </row>
    <row r="147" spans="2:15" ht="15">
      <c r="B147" s="327">
        <f>+B146+1</f>
        <v>78</v>
      </c>
      <c r="C147" s="328"/>
      <c r="D147" s="364" t="s">
        <v>386</v>
      </c>
      <c r="E147" s="325" t="str">
        <f>"(lns "&amp;B142&amp;" - "&amp;B144&amp;" - "&amp;B145&amp;" - "&amp;B146&amp;")"</f>
        <v>(lns 73 - 75 - 76 - 77)</v>
      </c>
      <c r="F147" s="364"/>
      <c r="G147" s="361">
        <f>G142-G144-G145-G146</f>
        <v>16928447</v>
      </c>
      <c r="H147" s="343"/>
      <c r="I147" s="356" t="s">
        <v>122</v>
      </c>
      <c r="J147" s="348">
        <f>L229</f>
        <v>0.9605916133882229</v>
      </c>
      <c r="K147" s="343"/>
      <c r="L147" s="361">
        <f>+J147*G147</f>
        <v>16261324.215887021</v>
      </c>
      <c r="M147" s="338"/>
      <c r="N147" s="343"/>
      <c r="O147" s="325"/>
    </row>
    <row r="148" spans="2:15" ht="15">
      <c r="B148" s="327"/>
      <c r="C148" s="328"/>
      <c r="D148" s="364"/>
      <c r="E148" s="343"/>
      <c r="F148" s="343"/>
      <c r="G148" s="433"/>
      <c r="H148" s="361"/>
      <c r="I148" s="368"/>
      <c r="J148" s="368"/>
      <c r="K148" s="330"/>
      <c r="L148" s="330"/>
      <c r="M148" s="338"/>
      <c r="N148" s="343"/>
      <c r="O148" s="325"/>
    </row>
    <row r="149" spans="2:15" ht="15">
      <c r="B149" s="327">
        <f>+B147+1</f>
        <v>79</v>
      </c>
      <c r="C149" s="328"/>
      <c r="D149" s="319" t="s">
        <v>105</v>
      </c>
      <c r="E149" s="343" t="s">
        <v>738</v>
      </c>
      <c r="F149" s="343"/>
      <c r="G149" s="832">
        <v>107630994</v>
      </c>
      <c r="H149" s="361"/>
      <c r="I149" s="409"/>
      <c r="J149" s="409"/>
      <c r="K149" s="325"/>
      <c r="L149" s="408"/>
      <c r="M149" s="343"/>
      <c r="N149" s="343"/>
      <c r="O149" s="325"/>
    </row>
    <row r="150" spans="2:15" ht="15">
      <c r="B150" s="327">
        <f aca="true" t="shared" si="7" ref="B150:B163">+B149+1</f>
        <v>80</v>
      </c>
      <c r="C150" s="328"/>
      <c r="D150" s="364" t="s">
        <v>332</v>
      </c>
      <c r="E150" s="325" t="s">
        <v>420</v>
      </c>
      <c r="F150" s="325"/>
      <c r="G150" s="832">
        <v>4235382</v>
      </c>
      <c r="H150" s="361"/>
      <c r="I150" s="409"/>
      <c r="J150" s="319"/>
      <c r="K150" s="325"/>
      <c r="L150" s="408"/>
      <c r="M150" s="412"/>
      <c r="N150" s="343"/>
      <c r="O150" s="325"/>
    </row>
    <row r="151" spans="2:15" ht="15">
      <c r="B151" s="327">
        <f t="shared" si="7"/>
        <v>81</v>
      </c>
      <c r="C151" s="328"/>
      <c r="D151" s="1207" t="s">
        <v>801</v>
      </c>
      <c r="E151" s="343" t="str">
        <f>"PBOP Worksheet O Line "&amp;'WS O - PBOP'!A37&amp;" &amp; "&amp;'WS O - PBOP'!A39&amp;", (Note K)"</f>
        <v>PBOP Worksheet O Line 9 &amp; 10, (Note K)</v>
      </c>
      <c r="F151" s="325"/>
      <c r="G151" s="1208">
        <f>'WS O - PBOP'!F37+'WS O - PBOP'!F39</f>
        <v>-7779029.54</v>
      </c>
      <c r="H151" s="361"/>
      <c r="I151" s="409"/>
      <c r="J151" s="319"/>
      <c r="K151" s="325"/>
      <c r="L151" s="408"/>
      <c r="M151" s="412"/>
      <c r="N151" s="343"/>
      <c r="O151" s="325"/>
    </row>
    <row r="152" spans="2:15" ht="15">
      <c r="B152" s="327">
        <f t="shared" si="7"/>
        <v>82</v>
      </c>
      <c r="C152" s="328"/>
      <c r="D152" s="364" t="s">
        <v>802</v>
      </c>
      <c r="E152" s="343" t="str">
        <f>"PBOP Worksheet O  Line "&amp;'WS O - PBOP'!A41&amp;", (Note K)"</f>
        <v>PBOP Worksheet O  Line 11, (Note K)</v>
      </c>
      <c r="F152" s="325"/>
      <c r="G152" s="1208">
        <f>'WS O - PBOP'!D41</f>
        <v>0</v>
      </c>
      <c r="H152" s="361"/>
      <c r="I152" s="409"/>
      <c r="J152" s="319"/>
      <c r="K152" s="325"/>
      <c r="L152" s="408"/>
      <c r="M152" s="412"/>
      <c r="N152" s="343"/>
      <c r="O152" s="325"/>
    </row>
    <row r="153" spans="2:15" ht="15">
      <c r="B153" s="327">
        <f t="shared" si="7"/>
        <v>83</v>
      </c>
      <c r="C153" s="328"/>
      <c r="D153" s="364" t="s">
        <v>803</v>
      </c>
      <c r="E153" s="343" t="str">
        <f>"PBOP Worksheet O Line "&amp;'WS O - PBOP'!A45&amp;", (Note K)"</f>
        <v>PBOP Worksheet O Line 13, (Note K)</v>
      </c>
      <c r="F153" s="325"/>
      <c r="G153" s="1208">
        <f>'WS O - PBOP'!F45</f>
        <v>-562339.44</v>
      </c>
      <c r="H153" s="361"/>
      <c r="I153" s="409"/>
      <c r="J153" s="319"/>
      <c r="K153" s="325"/>
      <c r="L153" s="408"/>
      <c r="M153" s="412"/>
      <c r="N153" s="343"/>
      <c r="O153" s="325"/>
    </row>
    <row r="154" spans="2:15" ht="15">
      <c r="B154" s="327">
        <f t="shared" si="7"/>
        <v>84</v>
      </c>
      <c r="C154" s="328"/>
      <c r="D154" s="319" t="s">
        <v>331</v>
      </c>
      <c r="E154" s="325" t="s">
        <v>97</v>
      </c>
      <c r="F154" s="343"/>
      <c r="G154" s="1332">
        <v>13763059</v>
      </c>
      <c r="H154" s="361"/>
      <c r="I154" s="409"/>
      <c r="J154" s="434"/>
      <c r="K154" s="325"/>
      <c r="L154" s="408"/>
      <c r="M154" s="343"/>
      <c r="N154" s="343"/>
      <c r="O154" s="325"/>
    </row>
    <row r="155" spans="2:15" ht="15">
      <c r="B155" s="327">
        <f t="shared" si="7"/>
        <v>85</v>
      </c>
      <c r="C155" s="328"/>
      <c r="D155" s="364" t="s">
        <v>109</v>
      </c>
      <c r="E155" s="325" t="s">
        <v>98</v>
      </c>
      <c r="F155" s="343"/>
      <c r="G155" s="1332">
        <v>480267</v>
      </c>
      <c r="H155" s="361"/>
      <c r="I155" s="409"/>
      <c r="J155" s="409"/>
      <c r="K155" s="325"/>
      <c r="L155" s="408"/>
      <c r="M155" s="343"/>
      <c r="N155" s="343"/>
      <c r="O155" s="325"/>
    </row>
    <row r="156" spans="2:15" ht="15.75" thickBot="1">
      <c r="B156" s="327">
        <f t="shared" si="7"/>
        <v>86</v>
      </c>
      <c r="C156" s="328"/>
      <c r="D156" s="364" t="s">
        <v>333</v>
      </c>
      <c r="E156" s="325" t="s">
        <v>99</v>
      </c>
      <c r="F156" s="343"/>
      <c r="G156" s="1333">
        <v>4505198</v>
      </c>
      <c r="H156" s="361"/>
      <c r="I156" s="409"/>
      <c r="J156" s="409"/>
      <c r="K156" s="325"/>
      <c r="L156" s="408"/>
      <c r="M156" s="343"/>
      <c r="N156" s="343"/>
      <c r="O156" s="325"/>
    </row>
    <row r="157" spans="2:15" ht="15">
      <c r="B157" s="327">
        <f t="shared" si="7"/>
        <v>87</v>
      </c>
      <c r="C157" s="328"/>
      <c r="D157" s="319" t="s">
        <v>110</v>
      </c>
      <c r="E157" s="343" t="str">
        <f>"(ln "&amp;B149&amp;" - sum ln "&amp;B150&amp;"  to ln "&amp;B156&amp;")"</f>
        <v>(ln 79 - sum ln 80  to ln 86)</v>
      </c>
      <c r="F157" s="343"/>
      <c r="G157" s="361">
        <f>G149-SUM(G150:G156)</f>
        <v>92988456.98</v>
      </c>
      <c r="H157" s="361"/>
      <c r="I157" s="356" t="s">
        <v>134</v>
      </c>
      <c r="J157" s="348">
        <f>L239</f>
        <v>0.0387529968261521</v>
      </c>
      <c r="K157" s="325"/>
      <c r="L157" s="408">
        <f>+J157*G157</f>
        <v>3603581.3782147216</v>
      </c>
      <c r="M157" s="343"/>
      <c r="N157" s="343"/>
      <c r="O157" s="325"/>
    </row>
    <row r="158" spans="2:15" ht="15">
      <c r="B158" s="327">
        <f t="shared" si="7"/>
        <v>88</v>
      </c>
      <c r="C158" s="353"/>
      <c r="D158" s="364" t="s">
        <v>199</v>
      </c>
      <c r="E158" s="343" t="str">
        <f>"(ln "&amp;B150&amp;")"</f>
        <v>(ln 80)</v>
      </c>
      <c r="F158" s="343"/>
      <c r="G158" s="361">
        <f>+G150</f>
        <v>4235382</v>
      </c>
      <c r="H158" s="361"/>
      <c r="I158" s="356" t="s">
        <v>747</v>
      </c>
      <c r="J158" s="348">
        <f>J73</f>
        <v>0.18422848951207083</v>
      </c>
      <c r="K158" s="343"/>
      <c r="L158" s="361">
        <f>+J158*G158</f>
        <v>780278.0283666136</v>
      </c>
      <c r="M158" s="343"/>
      <c r="N158" s="343"/>
      <c r="O158" s="325"/>
    </row>
    <row r="159" spans="2:15" ht="15">
      <c r="B159" s="327">
        <f t="shared" si="7"/>
        <v>89</v>
      </c>
      <c r="C159" s="328"/>
      <c r="D159" s="364" t="s">
        <v>232</v>
      </c>
      <c r="E159" s="343" t="str">
        <f>"Worksheet F ln "&amp;'WS F Misc Exp'!A39&amp;".(E) (Note L)"</f>
        <v>Worksheet F ln 20.(E) (Note L)</v>
      </c>
      <c r="F159" s="343"/>
      <c r="G159" s="361">
        <f>+'WS F Misc Exp'!F39</f>
        <v>53289</v>
      </c>
      <c r="H159" s="361"/>
      <c r="I159" s="356" t="s">
        <v>122</v>
      </c>
      <c r="J159" s="348">
        <f>L229</f>
        <v>0.9605916133882229</v>
      </c>
      <c r="K159" s="325"/>
      <c r="L159" s="408">
        <f>J159*G159</f>
        <v>51188.966485845005</v>
      </c>
      <c r="M159" s="343"/>
      <c r="N159" s="343"/>
      <c r="O159" s="325"/>
    </row>
    <row r="160" spans="2:15" ht="15">
      <c r="B160" s="327">
        <f t="shared" si="7"/>
        <v>90</v>
      </c>
      <c r="C160" s="328"/>
      <c r="D160" s="364" t="s">
        <v>242</v>
      </c>
      <c r="E160" s="343" t="str">
        <f>"Worksheet F ln "&amp;'WS F Misc Exp'!A59&amp;".(E) (Note L)"</f>
        <v>Worksheet F ln 37.(E) (Note L)</v>
      </c>
      <c r="F160" s="343"/>
      <c r="G160" s="346">
        <f>+'WS F Misc Exp'!F59</f>
        <v>0</v>
      </c>
      <c r="H160" s="343"/>
      <c r="I160" s="347" t="s">
        <v>122</v>
      </c>
      <c r="J160" s="348">
        <f>L229</f>
        <v>0.9605916133882229</v>
      </c>
      <c r="K160" s="325"/>
      <c r="L160" s="408">
        <f>+J160*G160</f>
        <v>0</v>
      </c>
      <c r="M160" s="343"/>
      <c r="N160" s="343"/>
      <c r="O160" s="325"/>
    </row>
    <row r="161" spans="2:15" ht="15">
      <c r="B161" s="327">
        <f t="shared" si="7"/>
        <v>91</v>
      </c>
      <c r="C161" s="328"/>
      <c r="D161" s="364" t="s">
        <v>243</v>
      </c>
      <c r="E161" s="343" t="str">
        <f>"Worksheet F ln "&amp;'WS F Misc Exp'!A70&amp;".(E) (Note L)"</f>
        <v>Worksheet F ln 43.(E) (Note L)</v>
      </c>
      <c r="F161" s="343"/>
      <c r="G161" s="346">
        <f>+'WS F Misc Exp'!F70</f>
        <v>127856</v>
      </c>
      <c r="H161" s="435"/>
      <c r="I161" s="347" t="s">
        <v>131</v>
      </c>
      <c r="J161" s="348">
        <v>1</v>
      </c>
      <c r="K161" s="325"/>
      <c r="L161" s="436">
        <f>+J161*G161</f>
        <v>127856</v>
      </c>
      <c r="M161" s="343"/>
      <c r="N161" s="343"/>
      <c r="O161" s="325"/>
    </row>
    <row r="162" spans="2:15" ht="15">
      <c r="B162" s="327">
        <f t="shared" si="7"/>
        <v>92</v>
      </c>
      <c r="C162" s="328"/>
      <c r="D162" s="364" t="s">
        <v>804</v>
      </c>
      <c r="E162" s="343" t="s">
        <v>806</v>
      </c>
      <c r="F162" s="343"/>
      <c r="G162" s="346">
        <f>'WS O - PBOP'!E23</f>
        <v>-35318595</v>
      </c>
      <c r="H162" s="435"/>
      <c r="I162" s="356" t="s">
        <v>134</v>
      </c>
      <c r="J162" s="348">
        <f>L239</f>
        <v>0.0387529968261521</v>
      </c>
      <c r="K162" s="325"/>
      <c r="L162" s="436">
        <f>+J162*G162</f>
        <v>-1368701.3999391515</v>
      </c>
      <c r="M162" s="343"/>
      <c r="N162" s="343"/>
      <c r="O162" s="325"/>
    </row>
    <row r="163" spans="2:15" ht="15">
      <c r="B163" s="327">
        <f t="shared" si="7"/>
        <v>93</v>
      </c>
      <c r="C163" s="328"/>
      <c r="D163" s="319" t="s">
        <v>111</v>
      </c>
      <c r="E163" s="343" t="str">
        <f>"(sum lns "&amp;B157&amp;"  to "&amp;B162&amp;")"</f>
        <v>(sum lns 87  to 92)</v>
      </c>
      <c r="F163" s="343"/>
      <c r="G163" s="408">
        <f>SUM(G157:G162)</f>
        <v>62086388.980000004</v>
      </c>
      <c r="H163" s="361"/>
      <c r="I163" s="356"/>
      <c r="J163" s="409"/>
      <c r="K163" s="325"/>
      <c r="L163" s="408">
        <f>SUM(L157:L162)</f>
        <v>3194202.973128028</v>
      </c>
      <c r="M163" s="343"/>
      <c r="N163" s="361"/>
      <c r="O163" s="325"/>
    </row>
    <row r="164" spans="2:15" ht="15.75" thickBot="1">
      <c r="B164" s="327"/>
      <c r="C164" s="328"/>
      <c r="D164" s="364"/>
      <c r="E164" s="343"/>
      <c r="F164" s="343"/>
      <c r="G164" s="397"/>
      <c r="H164" s="343"/>
      <c r="I164" s="356"/>
      <c r="J164" s="409"/>
      <c r="K164" s="325"/>
      <c r="L164" s="418"/>
      <c r="M164" s="343"/>
      <c r="N164" s="343"/>
      <c r="O164" s="325"/>
    </row>
    <row r="165" spans="2:15" ht="15">
      <c r="B165" s="327">
        <f>+B163+1</f>
        <v>94</v>
      </c>
      <c r="C165" s="353"/>
      <c r="D165" s="364" t="s">
        <v>416</v>
      </c>
      <c r="E165" s="343" t="str">
        <f>"(ln "&amp;B147&amp;" + ln "&amp;B163&amp;")"</f>
        <v>(ln 78 + ln 93)</v>
      </c>
      <c r="F165" s="343"/>
      <c r="G165" s="361">
        <f>+G147+G163</f>
        <v>79014835.98</v>
      </c>
      <c r="H165" s="361"/>
      <c r="I165" s="347"/>
      <c r="J165" s="343"/>
      <c r="K165" s="343"/>
      <c r="L165" s="361">
        <f>L147+L163</f>
        <v>19455527.18901505</v>
      </c>
      <c r="M165" s="343"/>
      <c r="N165" s="343"/>
      <c r="O165" s="325"/>
    </row>
    <row r="166" spans="2:15" ht="15.75" thickBot="1">
      <c r="B166" s="327">
        <f>+B165+1</f>
        <v>95</v>
      </c>
      <c r="C166" s="353"/>
      <c r="D166" s="364" t="s">
        <v>488</v>
      </c>
      <c r="E166" s="364"/>
      <c r="F166" s="343"/>
      <c r="G166" s="833">
        <v>0</v>
      </c>
      <c r="H166" s="361"/>
      <c r="I166" s="356" t="s">
        <v>131</v>
      </c>
      <c r="J166" s="348">
        <v>1</v>
      </c>
      <c r="K166" s="343"/>
      <c r="L166" s="418">
        <f>J166*G166</f>
        <v>0</v>
      </c>
      <c r="M166" s="343"/>
      <c r="N166" s="343"/>
      <c r="O166" s="325"/>
    </row>
    <row r="167" spans="2:15" ht="15">
      <c r="B167" s="327">
        <f>+B166+1</f>
        <v>96</v>
      </c>
      <c r="C167" s="328"/>
      <c r="D167" s="364" t="s">
        <v>112</v>
      </c>
      <c r="E167" s="343" t="str">
        <f>"(ln "&amp;B165&amp;" + ln "&amp;B166&amp;")"</f>
        <v>(ln 94 + ln 95)</v>
      </c>
      <c r="F167" s="343"/>
      <c r="G167" s="361">
        <f>+G165+G166</f>
        <v>79014835.98</v>
      </c>
      <c r="H167" s="361"/>
      <c r="I167" s="347"/>
      <c r="J167" s="343"/>
      <c r="K167" s="343"/>
      <c r="L167" s="361">
        <f>+L165+L166</f>
        <v>19455527.18901505</v>
      </c>
      <c r="M167" s="343"/>
      <c r="N167" s="343"/>
      <c r="O167" s="325"/>
    </row>
    <row r="168" spans="2:15" ht="15">
      <c r="B168" s="327"/>
      <c r="C168" s="328"/>
      <c r="D168" s="364"/>
      <c r="E168" s="325"/>
      <c r="F168" s="325"/>
      <c r="G168" s="408"/>
      <c r="H168" s="343"/>
      <c r="I168" s="325"/>
      <c r="J168" s="325"/>
      <c r="K168" s="325"/>
      <c r="L168" s="408"/>
      <c r="M168" s="343"/>
      <c r="N168" s="343"/>
      <c r="O168" s="325"/>
    </row>
    <row r="169" spans="2:15" ht="15">
      <c r="B169" s="327">
        <f>+B167+1</f>
        <v>97</v>
      </c>
      <c r="C169" s="328"/>
      <c r="D169" s="389" t="s">
        <v>115</v>
      </c>
      <c r="E169" s="347"/>
      <c r="F169" s="347"/>
      <c r="G169" s="408"/>
      <c r="H169" s="343"/>
      <c r="I169" s="356"/>
      <c r="J169" s="325"/>
      <c r="K169" s="325"/>
      <c r="L169" s="408"/>
      <c r="M169" s="343"/>
      <c r="N169" s="343"/>
      <c r="O169" s="325"/>
    </row>
    <row r="170" spans="2:15" ht="15">
      <c r="B170" s="327">
        <f aca="true" t="shared" si="8" ref="B170:B175">+B169+1</f>
        <v>98</v>
      </c>
      <c r="C170" s="328"/>
      <c r="D170" s="319" t="s">
        <v>128</v>
      </c>
      <c r="E170" s="342" t="s">
        <v>426</v>
      </c>
      <c r="F170" s="347"/>
      <c r="G170" s="832">
        <f>41592746+59990849+1371281+1939357</f>
        <v>104894233</v>
      </c>
      <c r="H170" s="343"/>
      <c r="I170" s="356" t="s">
        <v>129</v>
      </c>
      <c r="J170" s="348">
        <v>0</v>
      </c>
      <c r="K170" s="325"/>
      <c r="L170" s="361">
        <f>+G170*J170</f>
        <v>0</v>
      </c>
      <c r="M170" s="343"/>
      <c r="N170" s="343"/>
      <c r="O170" s="325"/>
    </row>
    <row r="171" spans="2:15" ht="15">
      <c r="B171" s="327">
        <f t="shared" si="8"/>
        <v>99</v>
      </c>
      <c r="C171" s="328"/>
      <c r="D171" s="364" t="s">
        <v>132</v>
      </c>
      <c r="E171" s="342" t="s">
        <v>425</v>
      </c>
      <c r="F171" s="347"/>
      <c r="G171" s="832">
        <v>55630522</v>
      </c>
      <c r="H171" s="343"/>
      <c r="I171" s="356" t="s">
        <v>129</v>
      </c>
      <c r="J171" s="348">
        <v>0</v>
      </c>
      <c r="K171" s="325"/>
      <c r="L171" s="361">
        <f>+G171*J171</f>
        <v>0</v>
      </c>
      <c r="M171" s="343"/>
      <c r="N171" s="343"/>
      <c r="O171" s="325"/>
    </row>
    <row r="172" spans="2:15" ht="15">
      <c r="B172" s="327">
        <f t="shared" si="8"/>
        <v>100</v>
      </c>
      <c r="C172" s="328"/>
      <c r="D172" s="391" t="str">
        <f>+D142</f>
        <v>  Transmission </v>
      </c>
      <c r="E172" s="342" t="s">
        <v>421</v>
      </c>
      <c r="F172" s="437"/>
      <c r="G172" s="832">
        <v>25028104</v>
      </c>
      <c r="H172" s="438"/>
      <c r="I172" s="439" t="s">
        <v>26</v>
      </c>
      <c r="J172" s="348">
        <f>J78</f>
        <v>0.9865516341373329</v>
      </c>
      <c r="K172" s="440"/>
      <c r="L172" s="441">
        <f>J172*G172</f>
        <v>24691516.90055912</v>
      </c>
      <c r="M172" s="394"/>
      <c r="N172" s="343"/>
      <c r="O172" s="325"/>
    </row>
    <row r="173" spans="2:15" ht="15">
      <c r="B173" s="327">
        <f>+B172+1</f>
        <v>101</v>
      </c>
      <c r="C173" s="328"/>
      <c r="D173" s="389" t="s">
        <v>138</v>
      </c>
      <c r="E173" s="437" t="s">
        <v>422</v>
      </c>
      <c r="F173" s="325"/>
      <c r="G173" s="832">
        <v>4588472</v>
      </c>
      <c r="H173" s="361"/>
      <c r="I173" s="356" t="s">
        <v>134</v>
      </c>
      <c r="J173" s="348">
        <f>L239</f>
        <v>0.0387529968261521</v>
      </c>
      <c r="K173" s="325"/>
      <c r="L173" s="408">
        <f>+J173*G173</f>
        <v>177817.0408528878</v>
      </c>
      <c r="M173" s="343"/>
      <c r="N173" s="343"/>
      <c r="O173" s="325"/>
    </row>
    <row r="174" spans="2:15" ht="15.75" thickBot="1">
      <c r="B174" s="327">
        <f t="shared" si="8"/>
        <v>102</v>
      </c>
      <c r="C174" s="328"/>
      <c r="D174" s="389" t="s">
        <v>139</v>
      </c>
      <c r="E174" s="392" t="s">
        <v>423</v>
      </c>
      <c r="F174" s="343"/>
      <c r="G174" s="833">
        <v>20506926</v>
      </c>
      <c r="H174" s="361"/>
      <c r="I174" s="356" t="s">
        <v>134</v>
      </c>
      <c r="J174" s="348">
        <f>L239</f>
        <v>0.0387529968261521</v>
      </c>
      <c r="K174" s="325"/>
      <c r="L174" s="418">
        <f>+J174*G174</f>
        <v>794704.838192136</v>
      </c>
      <c r="M174" s="343"/>
      <c r="N174" s="343"/>
      <c r="O174" s="325"/>
    </row>
    <row r="175" spans="2:15" ht="15">
      <c r="B175" s="327">
        <f t="shared" si="8"/>
        <v>103</v>
      </c>
      <c r="C175" s="328"/>
      <c r="D175" s="389" t="s">
        <v>303</v>
      </c>
      <c r="E175" s="1467" t="str">
        <f>"(Ln "&amp;B170&amp;"+"&amp;B171&amp;"+
"&amp;B172&amp;"+"&amp;B173&amp;"+"&amp;B174&amp;")"</f>
        <v>(Ln 98+99+
100+101+102)</v>
      </c>
      <c r="F175" s="325"/>
      <c r="G175" s="361">
        <f>+G170+G171+G172+G173+G174</f>
        <v>210648257</v>
      </c>
      <c r="H175" s="343"/>
      <c r="I175" s="356"/>
      <c r="J175" s="325"/>
      <c r="K175" s="325"/>
      <c r="L175" s="361">
        <f>+L170+L171+L172+L173+L174</f>
        <v>25664038.779604144</v>
      </c>
      <c r="M175" s="343"/>
      <c r="N175" s="343"/>
      <c r="O175" s="325"/>
    </row>
    <row r="176" spans="2:15" ht="15">
      <c r="B176" s="327"/>
      <c r="C176" s="328"/>
      <c r="D176" s="389"/>
      <c r="E176" s="1468"/>
      <c r="F176" s="325"/>
      <c r="G176" s="408"/>
      <c r="H176" s="343"/>
      <c r="I176" s="356"/>
      <c r="J176" s="325"/>
      <c r="K176" s="325"/>
      <c r="L176" s="408"/>
      <c r="M176" s="343"/>
      <c r="N176" s="343"/>
      <c r="O176" s="325"/>
    </row>
    <row r="177" spans="2:15" ht="15">
      <c r="B177" s="327">
        <f>+B175+1</f>
        <v>104</v>
      </c>
      <c r="C177" s="328"/>
      <c r="D177" s="389" t="s">
        <v>33</v>
      </c>
      <c r="E177" s="318" t="s">
        <v>424</v>
      </c>
      <c r="G177" s="408"/>
      <c r="H177" s="343"/>
      <c r="I177" s="356"/>
      <c r="J177" s="325"/>
      <c r="K177" s="325"/>
      <c r="L177" s="408"/>
      <c r="M177" s="343"/>
      <c r="N177" s="421"/>
      <c r="O177" s="325"/>
    </row>
    <row r="178" spans="2:15" ht="15">
      <c r="B178" s="327">
        <f aca="true" t="shared" si="9" ref="B178:B183">+B177+1</f>
        <v>105</v>
      </c>
      <c r="C178" s="328"/>
      <c r="D178" s="389" t="s">
        <v>140</v>
      </c>
      <c r="G178" s="408"/>
      <c r="H178" s="343"/>
      <c r="I178" s="356"/>
      <c r="K178" s="325"/>
      <c r="L178" s="408"/>
      <c r="M178" s="343"/>
      <c r="N178" s="343"/>
      <c r="O178" s="325"/>
    </row>
    <row r="179" spans="2:15" ht="15">
      <c r="B179" s="327">
        <f t="shared" si="9"/>
        <v>106</v>
      </c>
      <c r="C179" s="328"/>
      <c r="D179" s="389" t="s">
        <v>141</v>
      </c>
      <c r="E179" s="343" t="str">
        <f>"Worksheet H ln "&amp;'WS H Other Taxes'!A41&amp;"."&amp;'WS H Other Taxes'!I8&amp;""</f>
        <v>Worksheet H ln 24.(D)</v>
      </c>
      <c r="F179" s="325"/>
      <c r="G179" s="361">
        <f>+'WS H Other Taxes'!I41</f>
        <v>11867632</v>
      </c>
      <c r="H179" s="361"/>
      <c r="I179" s="356" t="s">
        <v>134</v>
      </c>
      <c r="J179" s="348">
        <f>L239</f>
        <v>0.0387529968261521</v>
      </c>
      <c r="K179" s="325"/>
      <c r="L179" s="408">
        <f>+J179*G179</f>
        <v>459906.30522994115</v>
      </c>
      <c r="M179" s="413"/>
      <c r="N179" s="343"/>
      <c r="O179" s="325"/>
    </row>
    <row r="180" spans="2:15" ht="15">
      <c r="B180" s="327">
        <f t="shared" si="9"/>
        <v>107</v>
      </c>
      <c r="C180" s="328"/>
      <c r="D180" s="389" t="s">
        <v>142</v>
      </c>
      <c r="E180" s="343" t="s">
        <v>116</v>
      </c>
      <c r="F180" s="325"/>
      <c r="G180" s="361"/>
      <c r="H180" s="361"/>
      <c r="I180" s="356"/>
      <c r="K180" s="325"/>
      <c r="L180" s="408"/>
      <c r="M180" s="343"/>
      <c r="N180" s="343"/>
      <c r="O180" s="325"/>
    </row>
    <row r="181" spans="2:15" ht="15">
      <c r="B181" s="327">
        <f t="shared" si="9"/>
        <v>108</v>
      </c>
      <c r="C181" s="353"/>
      <c r="D181" s="396" t="s">
        <v>143</v>
      </c>
      <c r="E181" s="343" t="str">
        <f>"Worksheet H-1 ln "&amp;'WS H-1-Detail of Tax Amts'!A23&amp;"."&amp;'WS H-1-Detail of Tax Amts'!E20&amp;" &amp; "&amp;'WS H-1-Detail of Tax Amts'!A23&amp;"."&amp;'WS H-1-Detail of Tax Amts'!I20</f>
        <v>Worksheet H-1 ln 3.(C) &amp; 3.(G)</v>
      </c>
      <c r="F181" s="343"/>
      <c r="G181" s="361">
        <f>+'WS H Other Taxes'!G41</f>
        <v>57060090</v>
      </c>
      <c r="H181" s="361"/>
      <c r="I181" s="347" t="s">
        <v>131</v>
      </c>
      <c r="J181" s="348"/>
      <c r="K181" s="343"/>
      <c r="L181" s="421">
        <f>'WS H-1-Detail of Tax Amts'!I23</f>
        <v>9198885.950530963</v>
      </c>
      <c r="M181" s="442"/>
      <c r="N181" s="421"/>
      <c r="O181" s="343"/>
    </row>
    <row r="182" spans="2:15" ht="15">
      <c r="B182" s="327">
        <f t="shared" si="9"/>
        <v>109</v>
      </c>
      <c r="C182" s="328"/>
      <c r="D182" s="389" t="s">
        <v>202</v>
      </c>
      <c r="E182" s="343" t="str">
        <f>"Worksheet H ln "&amp;'WS H Other Taxes'!A41&amp;"."&amp;'WS H Other Taxes'!M8&amp;""</f>
        <v>Worksheet H ln 24.(F)</v>
      </c>
      <c r="F182" s="325"/>
      <c r="G182" s="361">
        <f>+'WS H Other Taxes'!M41</f>
        <v>17414764</v>
      </c>
      <c r="H182" s="414"/>
      <c r="I182" s="356" t="s">
        <v>129</v>
      </c>
      <c r="J182" s="348">
        <v>0</v>
      </c>
      <c r="K182" s="325"/>
      <c r="L182" s="408">
        <f>+J182*G182</f>
        <v>0</v>
      </c>
      <c r="M182" s="343"/>
      <c r="N182" s="343"/>
      <c r="O182" s="325"/>
    </row>
    <row r="183" spans="2:15" ht="15.75" thickBot="1">
      <c r="B183" s="327">
        <f t="shared" si="9"/>
        <v>110</v>
      </c>
      <c r="C183" s="328"/>
      <c r="D183" s="389" t="s">
        <v>144</v>
      </c>
      <c r="E183" s="343" t="str">
        <f>"Worksheet H ln "&amp;'WS H Other Taxes'!A41&amp;"."&amp;'WS H Other Taxes'!K8&amp;""</f>
        <v>Worksheet H ln 24.(E)</v>
      </c>
      <c r="F183" s="325"/>
      <c r="G183" s="397">
        <f>+'WS H Other Taxes'!K41</f>
        <v>2334293</v>
      </c>
      <c r="H183" s="414"/>
      <c r="I183" s="356" t="s">
        <v>747</v>
      </c>
      <c r="J183" s="348">
        <f>J73</f>
        <v>0.18422848951207083</v>
      </c>
      <c r="K183" s="325"/>
      <c r="L183" s="418">
        <f>+J183*G183</f>
        <v>430043.27346860035</v>
      </c>
      <c r="M183" s="343"/>
      <c r="N183" s="343"/>
      <c r="O183" s="325"/>
    </row>
    <row r="184" spans="2:15" ht="15">
      <c r="B184" s="327">
        <f>+B183+1</f>
        <v>111</v>
      </c>
      <c r="C184" s="328"/>
      <c r="D184" s="389" t="s">
        <v>34</v>
      </c>
      <c r="E184" s="355" t="str">
        <f>"(sum lns "&amp;B179&amp;" to "&amp;B183&amp;")"</f>
        <v>(sum lns 106 to 110)</v>
      </c>
      <c r="F184" s="325"/>
      <c r="G184" s="361">
        <f>SUM(G179:G183)</f>
        <v>88676779</v>
      </c>
      <c r="H184" s="343"/>
      <c r="I184" s="356"/>
      <c r="J184" s="443"/>
      <c r="K184" s="325"/>
      <c r="L184" s="408">
        <f>SUM(L179:L183)</f>
        <v>10088835.529229505</v>
      </c>
      <c r="M184" s="343"/>
      <c r="N184" s="343"/>
      <c r="O184" s="325"/>
    </row>
    <row r="185" spans="2:15" ht="15">
      <c r="B185" s="327"/>
      <c r="C185" s="328"/>
      <c r="D185" s="389"/>
      <c r="E185" s="325"/>
      <c r="F185" s="325"/>
      <c r="G185" s="325"/>
      <c r="H185" s="343"/>
      <c r="I185" s="356"/>
      <c r="J185" s="443"/>
      <c r="K185" s="325"/>
      <c r="L185" s="325"/>
      <c r="M185" s="411"/>
      <c r="N185" s="343"/>
      <c r="O185" s="325"/>
    </row>
    <row r="186" spans="2:15" ht="15">
      <c r="B186" s="327">
        <f>+B184+1</f>
        <v>112</v>
      </c>
      <c r="C186" s="328"/>
      <c r="D186" s="389" t="s">
        <v>339</v>
      </c>
      <c r="E186" s="343" t="s">
        <v>427</v>
      </c>
      <c r="F186" s="444"/>
      <c r="G186" s="325"/>
      <c r="H186" s="368"/>
      <c r="I186" s="422"/>
      <c r="K186" s="325"/>
      <c r="L186" s="445"/>
      <c r="M186" s="343"/>
      <c r="N186" s="343"/>
      <c r="O186" s="325"/>
    </row>
    <row r="187" spans="2:15" ht="15">
      <c r="B187" s="327">
        <f aca="true" t="shared" si="10" ref="B187:B194">+B186+1</f>
        <v>113</v>
      </c>
      <c r="C187" s="328"/>
      <c r="D187" s="446" t="s">
        <v>340</v>
      </c>
      <c r="E187" s="325"/>
      <c r="F187" s="447"/>
      <c r="G187" s="448">
        <f>IF(F335&gt;0,1-(((1-F336)*(1-F335))/(1-F336*F335*F337)),0)</f>
        <v>0.38770000000000004</v>
      </c>
      <c r="H187" s="449"/>
      <c r="I187" s="449"/>
      <c r="K187" s="450"/>
      <c r="L187" s="445"/>
      <c r="M187" s="343"/>
      <c r="N187" s="343"/>
      <c r="O187" s="325"/>
    </row>
    <row r="188" spans="2:15" ht="15">
      <c r="B188" s="327">
        <f t="shared" si="10"/>
        <v>114</v>
      </c>
      <c r="C188" s="328"/>
      <c r="D188" s="351" t="s">
        <v>341</v>
      </c>
      <c r="E188" s="325"/>
      <c r="F188" s="447"/>
      <c r="G188" s="448">
        <f>IF(L253&gt;0,($G187/(1-$G187))*(1-$L253/$L256),0)</f>
        <v>0.4494515419130636</v>
      </c>
      <c r="H188" s="449"/>
      <c r="I188" s="449"/>
      <c r="K188" s="450"/>
      <c r="L188" s="445"/>
      <c r="M188" s="343"/>
      <c r="N188" s="343"/>
      <c r="O188" s="325"/>
    </row>
    <row r="189" spans="2:15" ht="15">
      <c r="B189" s="327">
        <f t="shared" si="10"/>
        <v>115</v>
      </c>
      <c r="C189" s="328"/>
      <c r="D189" s="396" t="str">
        <f>"       where WCLTD=(ln "&amp;B253&amp;") and WACC = (ln "&amp;B256&amp;")"</f>
        <v>       where WCLTD=(ln 154) and WACC = (ln 157)</v>
      </c>
      <c r="E189" s="343"/>
      <c r="F189" s="451"/>
      <c r="G189" s="325"/>
      <c r="H189" s="449"/>
      <c r="I189" s="449"/>
      <c r="J189" s="452"/>
      <c r="K189" s="450"/>
      <c r="L189" s="453"/>
      <c r="M189" s="343"/>
      <c r="N189" s="343"/>
      <c r="O189" s="325"/>
    </row>
    <row r="190" spans="2:15" ht="15">
      <c r="B190" s="327">
        <f t="shared" si="10"/>
        <v>116</v>
      </c>
      <c r="C190" s="328"/>
      <c r="D190" s="389" t="s">
        <v>430</v>
      </c>
      <c r="E190" s="454"/>
      <c r="F190" s="447"/>
      <c r="G190" s="325"/>
      <c r="H190" s="368"/>
      <c r="I190" s="422"/>
      <c r="J190" s="452"/>
      <c r="K190" s="450"/>
      <c r="L190" s="445"/>
      <c r="M190" s="343"/>
      <c r="N190" s="343"/>
      <c r="O190" s="325"/>
    </row>
    <row r="191" spans="2:15" ht="15">
      <c r="B191" s="327">
        <f t="shared" si="10"/>
        <v>117</v>
      </c>
      <c r="C191" s="328"/>
      <c r="D191" s="455" t="str">
        <f>"      GRCF=1 / (1 - T)  = (from ln "&amp;B187&amp;")"</f>
        <v>      GRCF=1 / (1 - T)  = (from ln 113)</v>
      </c>
      <c r="E191" s="444"/>
      <c r="F191" s="444"/>
      <c r="G191" s="456">
        <f>IF(G187&gt;0,1/(1-G187),0)</f>
        <v>1.6331863465621428</v>
      </c>
      <c r="H191" s="368"/>
      <c r="I191" s="373"/>
      <c r="J191" s="457"/>
      <c r="K191" s="458"/>
      <c r="L191" s="459"/>
      <c r="M191" s="343"/>
      <c r="N191" s="343"/>
      <c r="O191" s="325"/>
    </row>
    <row r="192" spans="2:15" ht="15">
      <c r="B192" s="327">
        <f t="shared" si="10"/>
        <v>118</v>
      </c>
      <c r="C192" s="328"/>
      <c r="D192" s="389" t="s">
        <v>342</v>
      </c>
      <c r="E192" s="409" t="s">
        <v>506</v>
      </c>
      <c r="F192" s="444"/>
      <c r="G192" s="1334">
        <v>-4705788</v>
      </c>
      <c r="H192" s="368"/>
      <c r="I192" s="373"/>
      <c r="J192" s="460"/>
      <c r="K192" s="458"/>
      <c r="L192" s="445"/>
      <c r="M192" s="347"/>
      <c r="N192" s="343"/>
      <c r="O192" s="325"/>
    </row>
    <row r="193" spans="2:15" ht="15">
      <c r="B193" s="327">
        <f t="shared" si="10"/>
        <v>119</v>
      </c>
      <c r="C193" s="328"/>
      <c r="D193" s="351" t="s">
        <v>536</v>
      </c>
      <c r="E193" s="343" t="s">
        <v>549</v>
      </c>
      <c r="F193" s="461"/>
      <c r="G193" s="1335">
        <v>-316228</v>
      </c>
      <c r="H193" s="368"/>
      <c r="I193" s="347" t="s">
        <v>131</v>
      </c>
      <c r="J193" s="460"/>
      <c r="K193" s="458"/>
      <c r="L193" s="1335">
        <v>-49936</v>
      </c>
      <c r="M193" s="347"/>
      <c r="N193" s="343"/>
      <c r="O193" s="325"/>
    </row>
    <row r="194" spans="2:15" ht="15">
      <c r="B194" s="327">
        <f t="shared" si="10"/>
        <v>120</v>
      </c>
      <c r="C194" s="328"/>
      <c r="D194" s="477" t="s">
        <v>737</v>
      </c>
      <c r="E194" s="343" t="s">
        <v>549</v>
      </c>
      <c r="F194" s="461"/>
      <c r="G194" s="1335">
        <v>10086051</v>
      </c>
      <c r="H194" s="368"/>
      <c r="I194" s="347" t="s">
        <v>131</v>
      </c>
      <c r="J194" s="460"/>
      <c r="K194" s="458"/>
      <c r="L194" s="1335">
        <v>2025043</v>
      </c>
      <c r="M194" s="347"/>
      <c r="N194" s="343"/>
      <c r="O194" s="325"/>
    </row>
    <row r="195" spans="2:15" ht="15">
      <c r="B195" s="327"/>
      <c r="C195" s="328"/>
      <c r="D195" s="396"/>
      <c r="E195" s="325"/>
      <c r="F195" s="447"/>
      <c r="G195" s="408"/>
      <c r="H195" s="368"/>
      <c r="I195" s="373"/>
      <c r="J195" s="462"/>
      <c r="K195" s="458"/>
      <c r="L195" s="445"/>
      <c r="M195" s="343"/>
      <c r="N195" s="343"/>
      <c r="O195" s="325"/>
    </row>
    <row r="196" spans="2:15" ht="15">
      <c r="B196" s="327">
        <f>+B194+1</f>
        <v>121</v>
      </c>
      <c r="C196" s="328"/>
      <c r="D196" s="455" t="s">
        <v>343</v>
      </c>
      <c r="E196" s="461" t="str">
        <f>"(ln "&amp;B188&amp;" * ln "&amp;B203&amp;")"</f>
        <v>(ln 114 * ln 126)</v>
      </c>
      <c r="F196" s="463"/>
      <c r="G196" s="408">
        <f>+G188*G203</f>
        <v>134916875.02009588</v>
      </c>
      <c r="H196" s="368"/>
      <c r="I196" s="373"/>
      <c r="J196" s="462"/>
      <c r="K196" s="408"/>
      <c r="L196" s="408">
        <f>+L203*G188</f>
        <v>25970658.305301648</v>
      </c>
      <c r="M196" s="343"/>
      <c r="N196" s="343"/>
      <c r="O196" s="325"/>
    </row>
    <row r="197" spans="2:15" ht="15">
      <c r="B197" s="327">
        <f>+B196+1</f>
        <v>122</v>
      </c>
      <c r="C197" s="328"/>
      <c r="D197" s="477" t="s">
        <v>344</v>
      </c>
      <c r="E197" s="461" t="str">
        <f>"(ln "&amp;B191&amp;" * ln "&amp;B192&amp;")"</f>
        <v>(ln 117 * ln 118)</v>
      </c>
      <c r="F197" s="461"/>
      <c r="G197" s="436">
        <f>G191*G192</f>
        <v>-7685428.711415973</v>
      </c>
      <c r="H197" s="368"/>
      <c r="I197" s="347" t="s">
        <v>747</v>
      </c>
      <c r="J197" s="348">
        <f>J73</f>
        <v>0.18422848951207083</v>
      </c>
      <c r="K197" s="408"/>
      <c r="L197" s="436">
        <f>+G197*J197</f>
        <v>-1415874.9227568654</v>
      </c>
      <c r="M197" s="343"/>
      <c r="N197" s="343"/>
      <c r="O197" s="325"/>
    </row>
    <row r="198" spans="2:15" ht="15">
      <c r="B198" s="327">
        <f>B197+1</f>
        <v>123</v>
      </c>
      <c r="C198" s="328"/>
      <c r="D198" s="477" t="s">
        <v>536</v>
      </c>
      <c r="E198" s="461" t="str">
        <f>"(ln "&amp;B191&amp;" * ln "&amp;B193&amp;")"</f>
        <v>(ln 117 * ln 119)</v>
      </c>
      <c r="F198" s="461"/>
      <c r="G198" s="436">
        <f>G193*G191</f>
        <v>-516459.2520006533</v>
      </c>
      <c r="H198" s="368"/>
      <c r="I198" s="464"/>
      <c r="J198" s="348"/>
      <c r="K198" s="408"/>
      <c r="L198" s="436">
        <f>L193*G191</f>
        <v>-81554.79340192716</v>
      </c>
      <c r="M198" s="343"/>
      <c r="N198" s="343"/>
      <c r="O198" s="325"/>
    </row>
    <row r="199" spans="2:15" ht="15">
      <c r="B199" s="327">
        <f>B198+1</f>
        <v>124</v>
      </c>
      <c r="C199" s="328"/>
      <c r="D199" s="477" t="s">
        <v>737</v>
      </c>
      <c r="E199" s="461" t="str">
        <f>"(ln "&amp;B191&amp;" * ln "&amp;B194&amp;")"</f>
        <v>(ln 117 * ln 120)</v>
      </c>
      <c r="F199" s="461"/>
      <c r="G199" s="465">
        <f>G194*G191</f>
        <v>16472400.783929447</v>
      </c>
      <c r="H199" s="368"/>
      <c r="I199" s="464"/>
      <c r="J199" s="348"/>
      <c r="K199" s="408"/>
      <c r="L199" s="465">
        <f>L194*G191</f>
        <v>3307272.5788012412</v>
      </c>
      <c r="M199" s="343"/>
      <c r="N199" s="343"/>
      <c r="O199" s="325"/>
    </row>
    <row r="200" spans="2:15" ht="15">
      <c r="B200" s="327"/>
      <c r="C200" s="328"/>
      <c r="D200" s="351"/>
      <c r="E200" s="461"/>
      <c r="F200" s="461"/>
      <c r="G200" s="436"/>
      <c r="H200" s="368"/>
      <c r="I200" s="464"/>
      <c r="J200" s="348"/>
      <c r="K200" s="408"/>
      <c r="L200" s="436"/>
      <c r="M200" s="343"/>
      <c r="N200" s="343"/>
      <c r="O200" s="325"/>
    </row>
    <row r="201" spans="2:15" ht="15">
      <c r="B201" s="327">
        <f>+B199+1</f>
        <v>125</v>
      </c>
      <c r="C201" s="328"/>
      <c r="D201" s="446" t="s">
        <v>36</v>
      </c>
      <c r="E201" s="325" t="str">
        <f>"(sum lns "&amp;B196&amp;" to "&amp;B199&amp;")"</f>
        <v>(sum lns 121 to 124)</v>
      </c>
      <c r="F201" s="461"/>
      <c r="G201" s="375">
        <f>SUM(G196:G199)</f>
        <v>143187387.8406087</v>
      </c>
      <c r="H201" s="368"/>
      <c r="I201" s="373" t="s">
        <v>116</v>
      </c>
      <c r="J201" s="466"/>
      <c r="K201" s="408"/>
      <c r="L201" s="375">
        <f>SUM(L196:L199)</f>
        <v>27780501.167944096</v>
      </c>
      <c r="M201" s="343"/>
      <c r="N201" s="343"/>
      <c r="O201" s="325"/>
    </row>
    <row r="202" spans="2:15" ht="15">
      <c r="B202" s="327"/>
      <c r="C202" s="328"/>
      <c r="D202" s="389"/>
      <c r="E202" s="325"/>
      <c r="F202" s="325"/>
      <c r="G202" s="325"/>
      <c r="H202" s="343"/>
      <c r="I202" s="356"/>
      <c r="J202" s="443"/>
      <c r="K202" s="325"/>
      <c r="L202" s="325"/>
      <c r="M202" s="343"/>
      <c r="N202" s="343"/>
      <c r="O202" s="325"/>
    </row>
    <row r="203" spans="2:15" ht="15">
      <c r="B203" s="327">
        <f>+B201+1</f>
        <v>126</v>
      </c>
      <c r="C203" s="328"/>
      <c r="D203" s="455" t="s">
        <v>201</v>
      </c>
      <c r="E203" s="455" t="str">
        <f>"(ln "&amp;B123&amp;" * ln "&amp;B256&amp;")"</f>
        <v>(ln 68 * ln 157)</v>
      </c>
      <c r="F203" s="419"/>
      <c r="G203" s="408">
        <f>+$L256*G123</f>
        <v>300181137.31645083</v>
      </c>
      <c r="H203" s="343"/>
      <c r="I203" s="373"/>
      <c r="J203" s="408"/>
      <c r="K203" s="408"/>
      <c r="L203" s="408">
        <f>+L256*L123</f>
        <v>57782999.6861488</v>
      </c>
      <c r="M203" s="343"/>
      <c r="N203" s="467"/>
      <c r="O203" s="445"/>
    </row>
    <row r="204" spans="2:14" ht="15">
      <c r="B204" s="327"/>
      <c r="C204" s="328"/>
      <c r="D204" s="446"/>
      <c r="G204" s="408"/>
      <c r="H204" s="408"/>
      <c r="I204" s="373"/>
      <c r="J204" s="373"/>
      <c r="K204" s="408"/>
      <c r="L204" s="408"/>
      <c r="M204" s="343"/>
      <c r="N204" s="318"/>
    </row>
    <row r="205" spans="2:14" ht="15">
      <c r="B205" s="327">
        <f>+B203+1</f>
        <v>127</v>
      </c>
      <c r="C205" s="328"/>
      <c r="D205" s="468" t="s">
        <v>100</v>
      </c>
      <c r="F205" s="437"/>
      <c r="G205" s="361">
        <f>-'I&amp;M WS D IPP Credits'!C11</f>
        <v>125071</v>
      </c>
      <c r="H205" s="361"/>
      <c r="I205" s="417" t="s">
        <v>131</v>
      </c>
      <c r="J205" s="348">
        <v>1</v>
      </c>
      <c r="K205" s="441"/>
      <c r="L205" s="408">
        <f>+J205*G205</f>
        <v>125071</v>
      </c>
      <c r="M205" s="394"/>
      <c r="N205" s="318"/>
    </row>
    <row r="206" spans="2:14" ht="15">
      <c r="B206" s="327"/>
      <c r="C206" s="328"/>
      <c r="D206" s="468"/>
      <c r="F206" s="437"/>
      <c r="G206" s="361"/>
      <c r="H206" s="361"/>
      <c r="I206" s="417"/>
      <c r="J206" s="348"/>
      <c r="K206" s="441"/>
      <c r="L206" s="408"/>
      <c r="M206" s="394"/>
      <c r="N206" s="318"/>
    </row>
    <row r="207" spans="2:14" ht="15">
      <c r="B207" s="327">
        <f>+B205+1</f>
        <v>128</v>
      </c>
      <c r="C207" s="328"/>
      <c r="D207" s="46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318"/>
      <c r="F207" s="392"/>
      <c r="G207" s="361">
        <f>+'WS N - Sale of Plant Held'!O31</f>
        <v>0</v>
      </c>
      <c r="H207" s="361"/>
      <c r="I207" s="469"/>
      <c r="J207" s="348"/>
      <c r="K207" s="395"/>
      <c r="L207" s="361">
        <f>'WS N - Sale of Plant Held'!S31</f>
        <v>0</v>
      </c>
      <c r="M207" s="394"/>
      <c r="N207" s="318"/>
    </row>
    <row r="208" spans="2:14" ht="15">
      <c r="B208" s="327"/>
      <c r="C208" s="328"/>
      <c r="D208" s="468"/>
      <c r="E208" s="318"/>
      <c r="F208" s="392"/>
      <c r="G208" s="361"/>
      <c r="H208" s="361"/>
      <c r="I208" s="469"/>
      <c r="J208" s="348"/>
      <c r="K208" s="395"/>
      <c r="L208" s="361"/>
      <c r="M208" s="394"/>
      <c r="N208" s="318"/>
    </row>
    <row r="209" spans="2:14" ht="15">
      <c r="B209" s="327">
        <f>+B207+1</f>
        <v>129</v>
      </c>
      <c r="C209" s="328"/>
      <c r="D209" s="468" t="str">
        <f>" Tax Impact on Net Loss / (Gain) on Sales of Plant Held for Future Use (ln "&amp;B207&amp;" * ln"&amp;B188&amp;")"</f>
        <v> Tax Impact on Net Loss / (Gain) on Sales of Plant Held for Future Use (ln 128 * ln114)</v>
      </c>
      <c r="E209" s="318"/>
      <c r="F209" s="392"/>
      <c r="G209" s="361">
        <f>-+G188*G207</f>
        <v>0</v>
      </c>
      <c r="H209" s="361"/>
      <c r="I209" s="469"/>
      <c r="J209" s="348"/>
      <c r="K209" s="395"/>
      <c r="L209" s="361">
        <f>L207*-G188</f>
        <v>0</v>
      </c>
      <c r="M209" s="394"/>
      <c r="N209" s="318"/>
    </row>
    <row r="210" spans="2:14" ht="15.75" thickBot="1">
      <c r="B210" s="327"/>
      <c r="C210" s="328"/>
      <c r="D210" s="389"/>
      <c r="G210" s="418"/>
      <c r="H210" s="470"/>
      <c r="I210" s="373"/>
      <c r="J210" s="373"/>
      <c r="K210" s="408"/>
      <c r="L210" s="418"/>
      <c r="M210" s="343"/>
      <c r="N210" s="318"/>
    </row>
    <row r="211" spans="2:14" ht="15.75" thickBot="1">
      <c r="B211" s="327">
        <f>+B209+1</f>
        <v>130</v>
      </c>
      <c r="C211" s="328"/>
      <c r="D211" s="313" t="s">
        <v>251</v>
      </c>
      <c r="G211" s="471">
        <f>+G205+G203+G201+G184+G175+G167+G207+G209</f>
        <v>821833468.1370596</v>
      </c>
      <c r="L211" s="471">
        <f>+L205+L203+L201+L184+L175+L167+L207+L209</f>
        <v>140896973.35194162</v>
      </c>
      <c r="M211" s="343"/>
      <c r="N211" s="318"/>
    </row>
    <row r="212" spans="2:14" ht="15.75" thickTop="1">
      <c r="B212" s="327"/>
      <c r="C212" s="328"/>
      <c r="D212" s="319" t="str">
        <f>"    (sum lns "&amp;B167&amp;", "&amp;B175&amp;", "&amp;B184&amp;", "&amp;B201&amp;", "&amp;B203&amp;", "&amp;B205&amp;", "&amp;B207&amp;", "&amp;B209&amp;")"</f>
        <v>    (sum lns 96, 103, 111, 125, 126, 127, 128, 129)</v>
      </c>
      <c r="F212" s="472"/>
      <c r="M212" s="343"/>
      <c r="N212" s="318"/>
    </row>
    <row r="213" spans="2:14" ht="15">
      <c r="B213" s="327"/>
      <c r="C213" s="328"/>
      <c r="F213" s="472"/>
      <c r="M213" s="343"/>
      <c r="N213" s="318"/>
    </row>
    <row r="214" spans="2:14" ht="15">
      <c r="B214" s="327"/>
      <c r="C214" s="328"/>
      <c r="D214" s="319"/>
      <c r="F214" s="422" t="str">
        <f>F126</f>
        <v>AEP East Companies </v>
      </c>
      <c r="M214" s="421"/>
      <c r="N214" s="318"/>
    </row>
    <row r="215" spans="2:14" ht="15">
      <c r="B215" s="327"/>
      <c r="C215" s="328"/>
      <c r="D215" s="319"/>
      <c r="F215" s="422" t="str">
        <f>F127</f>
        <v>Transmission Cost of Service Formula Rate</v>
      </c>
      <c r="M215" s="421"/>
      <c r="N215" s="318"/>
    </row>
    <row r="216" spans="2:14" ht="15">
      <c r="B216" s="313"/>
      <c r="C216" s="328"/>
      <c r="F216" s="422" t="str">
        <f>F128</f>
        <v>Utilizing  Actual/Projected FERC Form 1 Data</v>
      </c>
      <c r="M216" s="378"/>
      <c r="N216" s="318"/>
    </row>
    <row r="217" spans="2:14" ht="15">
      <c r="B217" s="327"/>
      <c r="C217" s="328"/>
      <c r="E217" s="422"/>
      <c r="F217" s="422"/>
      <c r="G217" s="422"/>
      <c r="H217" s="422"/>
      <c r="I217" s="422"/>
      <c r="J217" s="422"/>
      <c r="K217" s="422"/>
      <c r="M217" s="343"/>
      <c r="N217" s="318"/>
    </row>
    <row r="218" spans="2:14" ht="15">
      <c r="B218" s="327"/>
      <c r="C218" s="328"/>
      <c r="E218" s="319"/>
      <c r="F218" s="422" t="str">
        <f>F130</f>
        <v>INDIANA MICHIGAN POWER COMPANY</v>
      </c>
      <c r="G218" s="319"/>
      <c r="H218" s="319"/>
      <c r="I218" s="319"/>
      <c r="J218" s="319"/>
      <c r="K218" s="319"/>
      <c r="L218" s="319"/>
      <c r="M218" s="364"/>
      <c r="N218" s="318"/>
    </row>
    <row r="219" spans="2:14" ht="15">
      <c r="B219" s="327"/>
      <c r="C219" s="328"/>
      <c r="E219" s="319"/>
      <c r="F219" s="422"/>
      <c r="G219" s="319"/>
      <c r="H219" s="319"/>
      <c r="I219" s="319"/>
      <c r="J219" s="319"/>
      <c r="K219" s="319"/>
      <c r="L219" s="319"/>
      <c r="M219" s="364"/>
      <c r="N219" s="318"/>
    </row>
    <row r="220" spans="2:14" ht="15.75">
      <c r="B220" s="327"/>
      <c r="C220" s="328"/>
      <c r="F220" s="428" t="s">
        <v>41</v>
      </c>
      <c r="H220" s="322"/>
      <c r="I220" s="322"/>
      <c r="J220" s="322"/>
      <c r="K220" s="322"/>
      <c r="L220" s="322"/>
      <c r="M220" s="343"/>
      <c r="N220" s="318"/>
    </row>
    <row r="221" spans="2:14" ht="15.75">
      <c r="B221" s="327"/>
      <c r="C221" s="328"/>
      <c r="D221" s="473"/>
      <c r="E221" s="322"/>
      <c r="F221" s="322"/>
      <c r="G221" s="322"/>
      <c r="H221" s="322"/>
      <c r="I221" s="322"/>
      <c r="J221" s="322"/>
      <c r="K221" s="322"/>
      <c r="L221" s="322"/>
      <c r="M221" s="343"/>
      <c r="N221" s="318"/>
    </row>
    <row r="222" spans="2:15" ht="15.75">
      <c r="B222" s="327" t="s">
        <v>118</v>
      </c>
      <c r="C222" s="328"/>
      <c r="D222" s="473"/>
      <c r="E222" s="322"/>
      <c r="F222" s="322"/>
      <c r="G222" s="322"/>
      <c r="H222" s="322"/>
      <c r="I222" s="322"/>
      <c r="J222" s="322"/>
      <c r="K222" s="322"/>
      <c r="L222" s="322"/>
      <c r="M222" s="343"/>
      <c r="N222" s="318"/>
      <c r="O222" s="318"/>
    </row>
    <row r="223" spans="2:16" ht="15.75" thickBot="1">
      <c r="B223" s="334" t="s">
        <v>119</v>
      </c>
      <c r="C223" s="335"/>
      <c r="D223" s="364" t="s">
        <v>223</v>
      </c>
      <c r="E223" s="338"/>
      <c r="F223" s="338"/>
      <c r="G223" s="338"/>
      <c r="H223" s="338"/>
      <c r="I223" s="338"/>
      <c r="J223" s="338"/>
      <c r="K223" s="318"/>
      <c r="M223" s="343"/>
      <c r="N223" s="318"/>
      <c r="O223" s="318"/>
      <c r="P223" s="330"/>
    </row>
    <row r="224" spans="2:16" ht="15">
      <c r="B224" s="327">
        <f>+B211+1</f>
        <v>131</v>
      </c>
      <c r="C224" s="328"/>
      <c r="D224" s="338" t="s">
        <v>168</v>
      </c>
      <c r="E224" s="474" t="str">
        <f>"(ln "&amp;B66&amp;")"</f>
        <v>(ln 21)</v>
      </c>
      <c r="F224" s="475"/>
      <c r="H224" s="476"/>
      <c r="I224" s="476"/>
      <c r="J224" s="476"/>
      <c r="K224" s="476"/>
      <c r="L224" s="346">
        <f>+G66</f>
        <v>1488121309.5</v>
      </c>
      <c r="M224" s="343"/>
      <c r="N224" s="318"/>
      <c r="O224" s="318"/>
      <c r="P224" s="330"/>
    </row>
    <row r="225" spans="2:16" ht="15">
      <c r="B225" s="327">
        <f>+B224+1</f>
        <v>132</v>
      </c>
      <c r="C225" s="328"/>
      <c r="D225" s="338" t="str">
        <f>"  Less transmission plant excluded from PJM Tariff  (Worksheet A, ln "&amp;'I&amp;M WS A - RB Support'!A62&amp;", Col. "&amp;'I&amp;M WS A - RB Support'!E47&amp;") (Note P)"</f>
        <v>  Less transmission plant excluded from PJM Tariff  (Worksheet A, ln 42, Col. (d)) (Note P)</v>
      </c>
      <c r="E225" s="477"/>
      <c r="F225" s="477"/>
      <c r="G225" s="478"/>
      <c r="H225" s="477"/>
      <c r="I225" s="477"/>
      <c r="J225" s="477"/>
      <c r="K225" s="477"/>
      <c r="L225" s="832">
        <f>'I&amp;M WS A - RB Support'!E62</f>
        <v>0</v>
      </c>
      <c r="M225" s="343"/>
      <c r="N225" s="318"/>
      <c r="P225" s="330"/>
    </row>
    <row r="226" spans="2:16" ht="15.75" thickBot="1">
      <c r="B226" s="327">
        <f>+B225+1</f>
        <v>133</v>
      </c>
      <c r="C226" s="328"/>
      <c r="D226" s="475" t="str">
        <f>"  Less transmission plant included in OATT Ancillary Services (Worksheet A, ln "&amp;'I&amp;M WS A - RB Support'!A62&amp;", Col. "&amp;'I&amp;M WS A - RB Support'!C47&amp;")  (Note Q)"</f>
        <v>  Less transmission plant included in OATT Ancillary Services (Worksheet A, ln 42, Col. (b))  (Note Q)</v>
      </c>
      <c r="E226" s="475"/>
      <c r="F226" s="475"/>
      <c r="G226" s="388"/>
      <c r="H226" s="476"/>
      <c r="I226" s="476"/>
      <c r="J226" s="388"/>
      <c r="K226" s="476"/>
      <c r="L226" s="479">
        <f>'I&amp;M WS A - RB Support'!C62</f>
        <v>58644459.89</v>
      </c>
      <c r="M226" s="343"/>
      <c r="N226" s="318"/>
      <c r="P226" s="330"/>
    </row>
    <row r="227" spans="2:16" ht="15">
      <c r="B227" s="327">
        <f>+B226+1</f>
        <v>134</v>
      </c>
      <c r="C227" s="328"/>
      <c r="D227" s="338" t="s">
        <v>224</v>
      </c>
      <c r="E227" s="480" t="str">
        <f>"(ln "&amp;B224&amp;" - ln "&amp;B225&amp;" - ln "&amp;B226&amp;")"</f>
        <v>(ln 131 - ln 132 - ln 133)</v>
      </c>
      <c r="F227" s="475"/>
      <c r="H227" s="476"/>
      <c r="I227" s="476"/>
      <c r="J227" s="388"/>
      <c r="K227" s="476"/>
      <c r="L227" s="346">
        <f>L224-L225-L226</f>
        <v>1429476849.61</v>
      </c>
      <c r="M227" s="343"/>
      <c r="N227" s="318"/>
      <c r="P227" s="330"/>
    </row>
    <row r="228" spans="2:16" ht="15">
      <c r="B228" s="327"/>
      <c r="C228" s="328"/>
      <c r="D228" s="318"/>
      <c r="E228" s="475"/>
      <c r="F228" s="475"/>
      <c r="G228" s="388"/>
      <c r="H228" s="476"/>
      <c r="I228" s="476"/>
      <c r="J228" s="388"/>
      <c r="K228" s="476"/>
      <c r="L228" s="477"/>
      <c r="M228" s="343"/>
      <c r="N228" s="318"/>
      <c r="P228" s="330"/>
    </row>
    <row r="229" spans="2:16" ht="15.75">
      <c r="B229" s="327">
        <f>+B227+1</f>
        <v>135</v>
      </c>
      <c r="C229" s="328"/>
      <c r="D229" s="338" t="s">
        <v>225</v>
      </c>
      <c r="E229" s="481" t="str">
        <f>"(ln "&amp;B227&amp;" / ln "&amp;B224&amp;")"</f>
        <v>(ln 134 / ln 131)</v>
      </c>
      <c r="F229" s="482"/>
      <c r="H229" s="483"/>
      <c r="I229" s="484"/>
      <c r="J229" s="484"/>
      <c r="K229" s="485" t="s">
        <v>145</v>
      </c>
      <c r="L229" s="486">
        <f>IF(L224&gt;0,L227/L224,0)</f>
        <v>0.9605916133882229</v>
      </c>
      <c r="M229" s="343"/>
      <c r="N229" s="318"/>
      <c r="P229" s="330"/>
    </row>
    <row r="230" spans="2:14" ht="15.75">
      <c r="B230" s="327"/>
      <c r="C230" s="328"/>
      <c r="D230" s="487"/>
      <c r="E230" s="338"/>
      <c r="F230" s="338"/>
      <c r="G230" s="488"/>
      <c r="H230" s="338"/>
      <c r="I230" s="353"/>
      <c r="J230" s="338"/>
      <c r="K230" s="338"/>
      <c r="L230" s="322"/>
      <c r="M230" s="343"/>
      <c r="N230" s="318"/>
    </row>
    <row r="231" spans="2:14" ht="45">
      <c r="B231" s="327">
        <f>B229+1</f>
        <v>136</v>
      </c>
      <c r="C231" s="353"/>
      <c r="D231" s="364" t="s">
        <v>42</v>
      </c>
      <c r="E231" s="347" t="s">
        <v>345</v>
      </c>
      <c r="F231" s="347" t="s">
        <v>186</v>
      </c>
      <c r="G231" s="489" t="s">
        <v>216</v>
      </c>
      <c r="H231" s="423" t="s">
        <v>120</v>
      </c>
      <c r="I231" s="356"/>
      <c r="J231" s="325"/>
      <c r="K231" s="325"/>
      <c r="L231" s="325"/>
      <c r="M231" s="343"/>
      <c r="N231" s="318"/>
    </row>
    <row r="232" spans="2:14" ht="15">
      <c r="B232" s="327">
        <f aca="true" t="shared" si="11" ref="B232:B237">+B231+1</f>
        <v>137</v>
      </c>
      <c r="C232" s="353"/>
      <c r="D232" s="364" t="s">
        <v>128</v>
      </c>
      <c r="E232" s="325" t="s">
        <v>433</v>
      </c>
      <c r="F232" s="1335">
        <v>135925266</v>
      </c>
      <c r="G232" s="1335">
        <v>11816049</v>
      </c>
      <c r="H232" s="390">
        <f>+F232+G232</f>
        <v>147741315</v>
      </c>
      <c r="I232" s="356" t="s">
        <v>129</v>
      </c>
      <c r="J232" s="348">
        <v>0</v>
      </c>
      <c r="K232" s="490"/>
      <c r="L232" s="408">
        <f>(F232+G232)*J232</f>
        <v>0</v>
      </c>
      <c r="M232" s="343"/>
      <c r="N232" s="318"/>
    </row>
    <row r="233" spans="2:14" ht="15">
      <c r="B233" s="327">
        <f t="shared" si="11"/>
        <v>138</v>
      </c>
      <c r="C233" s="353"/>
      <c r="D233" s="396" t="s">
        <v>130</v>
      </c>
      <c r="E233" s="343" t="s">
        <v>12</v>
      </c>
      <c r="F233" s="1335">
        <v>3965072</v>
      </c>
      <c r="G233" s="1335">
        <v>3526361</v>
      </c>
      <c r="H233" s="390">
        <f>+F233+G233</f>
        <v>7491433</v>
      </c>
      <c r="I233" s="353" t="s">
        <v>122</v>
      </c>
      <c r="J233" s="348">
        <f>L229</f>
        <v>0.9605916133882229</v>
      </c>
      <c r="K233" s="490"/>
      <c r="L233" s="408">
        <f>(F233+G233)*J233</f>
        <v>7196207.712059774</v>
      </c>
      <c r="M233" s="343"/>
      <c r="N233" s="318"/>
    </row>
    <row r="234" spans="2:14" ht="15">
      <c r="B234" s="327">
        <f t="shared" si="11"/>
        <v>139</v>
      </c>
      <c r="C234" s="353"/>
      <c r="D234" s="396" t="s">
        <v>228</v>
      </c>
      <c r="E234" s="325" t="s">
        <v>468</v>
      </c>
      <c r="F234" s="1335">
        <v>0</v>
      </c>
      <c r="G234" s="1335">
        <v>0</v>
      </c>
      <c r="H234" s="390">
        <v>0</v>
      </c>
      <c r="I234" s="356" t="s">
        <v>129</v>
      </c>
      <c r="J234" s="348">
        <v>0</v>
      </c>
      <c r="K234" s="490"/>
      <c r="L234" s="408">
        <f>(F234+G234)*J234</f>
        <v>0</v>
      </c>
      <c r="M234" s="343"/>
      <c r="N234" s="318"/>
    </row>
    <row r="235" spans="2:14" ht="15">
      <c r="B235" s="327">
        <f t="shared" si="11"/>
        <v>140</v>
      </c>
      <c r="C235" s="353"/>
      <c r="D235" s="396" t="s">
        <v>132</v>
      </c>
      <c r="E235" s="325" t="s">
        <v>431</v>
      </c>
      <c r="F235" s="1335">
        <v>16761327</v>
      </c>
      <c r="G235" s="1335">
        <v>1744633</v>
      </c>
      <c r="H235" s="390">
        <f>+F235+G235</f>
        <v>18505960</v>
      </c>
      <c r="I235" s="356" t="s">
        <v>129</v>
      </c>
      <c r="J235" s="348">
        <v>0</v>
      </c>
      <c r="K235" s="490"/>
      <c r="L235" s="408">
        <f>(F235+G235)*J235</f>
        <v>0</v>
      </c>
      <c r="M235" s="343"/>
      <c r="N235" s="318"/>
    </row>
    <row r="236" spans="2:14" ht="15.75" thickBot="1">
      <c r="B236" s="327">
        <f t="shared" si="11"/>
        <v>141</v>
      </c>
      <c r="C236" s="353"/>
      <c r="D236" s="396" t="s">
        <v>203</v>
      </c>
      <c r="E236" s="325" t="s">
        <v>432</v>
      </c>
      <c r="F236" s="1336">
        <v>6708433</v>
      </c>
      <c r="G236" s="1336">
        <v>5247084</v>
      </c>
      <c r="H236" s="491">
        <f>+F236+G236</f>
        <v>11955517</v>
      </c>
      <c r="I236" s="356" t="s">
        <v>129</v>
      </c>
      <c r="J236" s="348">
        <v>0</v>
      </c>
      <c r="K236" s="490"/>
      <c r="L236" s="418">
        <f>(F236+G236)*J236</f>
        <v>0</v>
      </c>
      <c r="M236" s="343"/>
      <c r="N236" s="318"/>
    </row>
    <row r="237" spans="2:14" ht="15.75">
      <c r="B237" s="327">
        <f t="shared" si="11"/>
        <v>142</v>
      </c>
      <c r="C237" s="353"/>
      <c r="D237" s="396" t="s">
        <v>120</v>
      </c>
      <c r="E237" s="396" t="str">
        <f>"(sum lns "&amp;B232&amp;" to "&amp;B236&amp;")"</f>
        <v>(sum lns 137 to 141)</v>
      </c>
      <c r="F237" s="343">
        <f>SUM(F232:F236)</f>
        <v>163360098</v>
      </c>
      <c r="G237" s="343">
        <f>SUM(G232:G236)</f>
        <v>22334127</v>
      </c>
      <c r="H237" s="343">
        <f>SUM(H232:H236)</f>
        <v>185694225</v>
      </c>
      <c r="I237" s="356"/>
      <c r="J237" s="325"/>
      <c r="K237" s="325"/>
      <c r="L237" s="408">
        <f>SUM(L232:L236)</f>
        <v>7196207.712059774</v>
      </c>
      <c r="M237" s="492"/>
      <c r="N237" s="318"/>
    </row>
    <row r="238" spans="2:14" ht="15">
      <c r="B238" s="327"/>
      <c r="C238" s="353"/>
      <c r="D238" s="396" t="s">
        <v>116</v>
      </c>
      <c r="E238" s="343" t="s">
        <v>116</v>
      </c>
      <c r="F238" s="343"/>
      <c r="G238" s="318"/>
      <c r="H238" s="343"/>
      <c r="I238" s="422"/>
      <c r="M238" s="318"/>
      <c r="N238" s="318"/>
    </row>
    <row r="239" spans="2:14" ht="15.75">
      <c r="B239" s="327">
        <f>B237+1</f>
        <v>143</v>
      </c>
      <c r="C239" s="328"/>
      <c r="D239" s="389" t="s">
        <v>43</v>
      </c>
      <c r="E239" s="343"/>
      <c r="F239" s="343"/>
      <c r="G239" s="343"/>
      <c r="H239" s="343"/>
      <c r="I239" s="422"/>
      <c r="K239" s="493" t="s">
        <v>44</v>
      </c>
      <c r="L239" s="494">
        <f>L237/(F237+G237)</f>
        <v>0.0387529968261521</v>
      </c>
      <c r="M239" s="318"/>
      <c r="N239" s="318"/>
    </row>
    <row r="240" spans="2:14" ht="15">
      <c r="B240" s="327"/>
      <c r="C240" s="328"/>
      <c r="D240" s="389"/>
      <c r="E240" s="343"/>
      <c r="F240" s="343"/>
      <c r="G240" s="343"/>
      <c r="H240" s="343"/>
      <c r="I240" s="356"/>
      <c r="J240" s="325"/>
      <c r="K240" s="325"/>
      <c r="L240" s="325"/>
      <c r="M240" s="343"/>
      <c r="N240" s="318"/>
    </row>
    <row r="241" spans="2:14" ht="15.75">
      <c r="B241" s="327"/>
      <c r="C241" s="328"/>
      <c r="D241" s="389"/>
      <c r="E241" s="472"/>
      <c r="F241" s="325"/>
      <c r="H241" s="325"/>
      <c r="I241" s="325"/>
      <c r="J241" s="325"/>
      <c r="K241" s="387"/>
      <c r="L241" s="495"/>
      <c r="M241" s="343"/>
      <c r="N241" s="318"/>
    </row>
    <row r="242" spans="2:14" ht="15.75" thickBot="1">
      <c r="B242" s="327">
        <f>+B239+1</f>
        <v>144</v>
      </c>
      <c r="C242" s="353"/>
      <c r="D242" s="396" t="s">
        <v>200</v>
      </c>
      <c r="E242" s="343"/>
      <c r="F242" s="343"/>
      <c r="G242" s="343"/>
      <c r="H242" s="343"/>
      <c r="I242" s="343"/>
      <c r="J242" s="343"/>
      <c r="K242" s="343"/>
      <c r="L242" s="496" t="s">
        <v>146</v>
      </c>
      <c r="M242" s="343"/>
      <c r="N242" s="318"/>
    </row>
    <row r="243" spans="2:14" ht="15">
      <c r="B243" s="327">
        <f aca="true" t="shared" si="12" ref="B243:B250">+B242+1</f>
        <v>145</v>
      </c>
      <c r="C243" s="353"/>
      <c r="D243" s="343" t="s">
        <v>221</v>
      </c>
      <c r="E243" s="318" t="str">
        <f>"(Worksheet M, ln. "&amp;'WS M - Cost of Capital'!A56&amp;", col. "&amp;'WS M - Cost of Capital'!E47&amp;")"</f>
        <v>(Worksheet M, ln. 37, col. (d))</v>
      </c>
      <c r="F243" s="343"/>
      <c r="G243" s="343"/>
      <c r="H243" s="343"/>
      <c r="I243" s="343"/>
      <c r="J243" s="343"/>
      <c r="K243" s="343"/>
      <c r="L243" s="361">
        <f>'WS M - Cost of Capital'!E56</f>
        <v>103587524</v>
      </c>
      <c r="M243" s="343"/>
      <c r="N243" s="318"/>
    </row>
    <row r="244" spans="2:14" ht="15">
      <c r="B244" s="327">
        <f t="shared" si="12"/>
        <v>146</v>
      </c>
      <c r="C244" s="353"/>
      <c r="D244" s="343" t="s">
        <v>222</v>
      </c>
      <c r="E244" s="318" t="str">
        <f>"(Worksheet M, ln. "&amp;'WS M - Cost of Capital'!A103&amp;")"</f>
        <v>(Worksheet M, ln. 71)</v>
      </c>
      <c r="F244" s="343"/>
      <c r="G244" s="343"/>
      <c r="H244" s="343"/>
      <c r="I244" s="343"/>
      <c r="J244" s="343"/>
      <c r="K244" s="343"/>
      <c r="L244" s="361">
        <f>'WS M - Cost of Capital'!E103</f>
        <v>0</v>
      </c>
      <c r="M244" s="343"/>
      <c r="N244" s="318"/>
    </row>
    <row r="245" spans="2:14" ht="15">
      <c r="B245" s="327">
        <f t="shared" si="12"/>
        <v>147</v>
      </c>
      <c r="C245" s="353"/>
      <c r="D245" s="497" t="s">
        <v>244</v>
      </c>
      <c r="E245" s="343"/>
      <c r="F245" s="343"/>
      <c r="G245" s="343"/>
      <c r="H245" s="412"/>
      <c r="I245" s="343"/>
      <c r="J245" s="343"/>
      <c r="K245" s="343"/>
      <c r="L245" s="361"/>
      <c r="M245" s="343"/>
      <c r="N245" s="318"/>
    </row>
    <row r="246" spans="2:14" ht="15">
      <c r="B246" s="327">
        <f t="shared" si="12"/>
        <v>148</v>
      </c>
      <c r="C246" s="353"/>
      <c r="D246" s="343" t="s">
        <v>245</v>
      </c>
      <c r="E246" s="525" t="str">
        <f>"(Worksheet M, ln. "&amp;'WS M - Cost of Capital'!A23&amp;", col. "&amp;'WS M - Cost of Capital'!C8&amp;")"</f>
        <v>(Worksheet M, ln. 14, col. (b))</v>
      </c>
      <c r="F246" s="343"/>
      <c r="G246" s="338"/>
      <c r="H246" s="414"/>
      <c r="I246" s="343"/>
      <c r="J246" s="343"/>
      <c r="K246" s="343"/>
      <c r="L246" s="361">
        <f>'WS M - Cost of Capital'!C23</f>
        <v>2184685013.5</v>
      </c>
      <c r="M246" s="343"/>
      <c r="N246" s="318"/>
    </row>
    <row r="247" spans="2:14" ht="15">
      <c r="B247" s="327">
        <f t="shared" si="12"/>
        <v>149</v>
      </c>
      <c r="C247" s="353"/>
      <c r="D247" s="343" t="s">
        <v>370</v>
      </c>
      <c r="E247" s="525" t="str">
        <f>"(Worksheet M, ln. "&amp;'WS M - Cost of Capital'!A23&amp;", col. "&amp;'WS M - Cost of Capital'!D8&amp;")"</f>
        <v>(Worksheet M, ln. 14, col. (c))</v>
      </c>
      <c r="F247" s="343"/>
      <c r="G247" s="343"/>
      <c r="H247" s="414"/>
      <c r="I247" s="343"/>
      <c r="J247" s="343"/>
      <c r="K247" s="343"/>
      <c r="L247" s="390">
        <f>'WS M - Cost of Capital'!D23</f>
        <v>0</v>
      </c>
      <c r="M247" s="343"/>
      <c r="N247" s="318"/>
    </row>
    <row r="248" spans="2:14" ht="15">
      <c r="B248" s="327">
        <f>+B247+1</f>
        <v>150</v>
      </c>
      <c r="C248" s="353"/>
      <c r="D248" s="343" t="s">
        <v>363</v>
      </c>
      <c r="E248" s="525" t="str">
        <f>"(Worksheet M, ln. "&amp;'WS M - Cost of Capital'!A23&amp;", col. "&amp;'WS M - Cost of Capital'!E8&amp;")"</f>
        <v>(Worksheet M, ln. 14, col. (d))</v>
      </c>
      <c r="F248" s="343"/>
      <c r="G248" s="343"/>
      <c r="H248" s="414"/>
      <c r="I248" s="343"/>
      <c r="J248" s="343"/>
      <c r="K248" s="343"/>
      <c r="L248" s="390">
        <f>'WS M - Cost of Capital'!E23</f>
        <v>-6481865</v>
      </c>
      <c r="M248" s="343"/>
      <c r="N248" s="318"/>
    </row>
    <row r="249" spans="2:14" ht="15.75" thickBot="1">
      <c r="B249" s="327">
        <f t="shared" si="12"/>
        <v>151</v>
      </c>
      <c r="C249" s="353"/>
      <c r="D249" s="343" t="s">
        <v>369</v>
      </c>
      <c r="E249" s="525" t="str">
        <f>"(Worksheet M, ln. "&amp;'WS M - Cost of Capital'!A23&amp;", col. "&amp;'WS M - Cost of Capital'!F8&amp;")"</f>
        <v>(Worksheet M, ln. 14, col. (e))</v>
      </c>
      <c r="F249" s="343"/>
      <c r="G249" s="343"/>
      <c r="H249" s="414"/>
      <c r="I249" s="343"/>
      <c r="J249" s="415"/>
      <c r="K249" s="343"/>
      <c r="L249" s="491">
        <f>'WS M - Cost of Capital'!F23</f>
        <v>-14189939</v>
      </c>
      <c r="M249" s="343"/>
      <c r="N249" s="318"/>
    </row>
    <row r="250" spans="2:13" ht="15">
      <c r="B250" s="327">
        <f t="shared" si="12"/>
        <v>152</v>
      </c>
      <c r="C250" s="353"/>
      <c r="D250" s="313" t="s">
        <v>246</v>
      </c>
      <c r="E250" s="343" t="str">
        <f>"(ln "&amp;B246&amp;" - ln "&amp;B247&amp;" - ln "&amp;B248&amp;" - ln "&amp;B249&amp;")"</f>
        <v>(ln 148 - ln 149 - ln 150 - ln 151)</v>
      </c>
      <c r="F250" s="498"/>
      <c r="G250" s="318"/>
      <c r="H250" s="338"/>
      <c r="I250" s="338"/>
      <c r="J250" s="338"/>
      <c r="K250" s="338"/>
      <c r="L250" s="361">
        <f>+L246-L247-L248-L249</f>
        <v>2205356817.5</v>
      </c>
      <c r="M250" s="325"/>
    </row>
    <row r="251" spans="2:13" ht="15.75">
      <c r="B251" s="327"/>
      <c r="C251" s="353"/>
      <c r="D251" s="396"/>
      <c r="E251" s="343"/>
      <c r="F251" s="343"/>
      <c r="G251" s="1466"/>
      <c r="H251" s="1466"/>
      <c r="I251" s="499"/>
      <c r="J251" s="500" t="s">
        <v>147</v>
      </c>
      <c r="K251" s="343"/>
      <c r="L251" s="343"/>
      <c r="M251" s="325"/>
    </row>
    <row r="252" spans="2:21" ht="15.75" thickBot="1">
      <c r="B252" s="327">
        <f>+B250+1</f>
        <v>153</v>
      </c>
      <c r="C252" s="353"/>
      <c r="D252" s="396"/>
      <c r="F252" s="343"/>
      <c r="G252" s="501" t="s">
        <v>146</v>
      </c>
      <c r="H252" s="501" t="s">
        <v>148</v>
      </c>
      <c r="I252" s="499"/>
      <c r="J252" s="502" t="s">
        <v>429</v>
      </c>
      <c r="K252" s="343"/>
      <c r="L252" s="501" t="s">
        <v>149</v>
      </c>
      <c r="M252" s="325"/>
      <c r="N252" s="319"/>
      <c r="O252" s="319"/>
      <c r="P252" s="319"/>
      <c r="Q252" s="319"/>
      <c r="R252" s="319"/>
      <c r="S252" s="319"/>
      <c r="T252" s="319"/>
      <c r="U252" s="319"/>
    </row>
    <row r="253" spans="2:21" ht="15">
      <c r="B253" s="327">
        <f>+B252+1</f>
        <v>154</v>
      </c>
      <c r="C253" s="353"/>
      <c r="D253" s="525" t="str">
        <f>"  Long Term Debt  (Note T) Worksheet M, ln "&amp;'WS M - Cost of Capital'!A42&amp;", col. (g), ln "&amp;'WS M - Cost of Capital'!A58&amp;", col. "&amp;'WS M - Cost of Capital'!E47&amp;")"</f>
        <v>  Long Term Debt  (Note T) Worksheet M, ln 28, col. (g), ln 38, col. (d))</v>
      </c>
      <c r="E253" s="525"/>
      <c r="F253" s="343"/>
      <c r="G253" s="361">
        <f>'WS M - Cost of Capital'!H42</f>
        <v>2137154871</v>
      </c>
      <c r="H253" s="503">
        <f>IF($G$256&gt;0,G253/$G$256,0)</f>
        <v>0.4921471775561808</v>
      </c>
      <c r="I253" s="504"/>
      <c r="J253" s="415">
        <f>'WS M - Cost of Capital'!E58</f>
        <v>0.04846982565729089</v>
      </c>
      <c r="K253" s="318"/>
      <c r="L253" s="506">
        <f>H253*J253</f>
        <v>0.023854287893875867</v>
      </c>
      <c r="M253" s="507"/>
      <c r="N253" s="319"/>
      <c r="O253" s="319"/>
      <c r="P253" s="319"/>
      <c r="Q253" s="319"/>
      <c r="R253" s="319"/>
      <c r="S253" s="319"/>
      <c r="T253" s="319"/>
      <c r="U253" s="319"/>
    </row>
    <row r="254" spans="2:13" ht="15">
      <c r="B254" s="327">
        <f>+B253+1</f>
        <v>155</v>
      </c>
      <c r="C254" s="353"/>
      <c r="D254" s="396" t="str">
        <f>"  Preferred Stock (ln "&amp;B247&amp;")"</f>
        <v>  Preferred Stock (ln 149)</v>
      </c>
      <c r="F254" s="318"/>
      <c r="G254" s="361">
        <f>+L247</f>
        <v>0</v>
      </c>
      <c r="H254" s="503">
        <f>IF($G$256&gt;0,G254/$G$256,0)</f>
        <v>0</v>
      </c>
      <c r="I254" s="504"/>
      <c r="J254" s="505">
        <f>IF(G254&gt;0,L244/G254,0)</f>
        <v>0</v>
      </c>
      <c r="K254" s="318"/>
      <c r="L254" s="508">
        <f>H254*J254</f>
        <v>0</v>
      </c>
      <c r="M254" s="325"/>
    </row>
    <row r="255" spans="2:13" ht="15.75" thickBot="1">
      <c r="B255" s="327">
        <f>+B254+1</f>
        <v>156</v>
      </c>
      <c r="C255" s="353"/>
      <c r="D255" s="396" t="str">
        <f>"  Common Stock (ln "&amp;B250&amp;")"</f>
        <v>  Common Stock (ln 152)</v>
      </c>
      <c r="F255" s="318"/>
      <c r="G255" s="397">
        <f>+L250</f>
        <v>2205356817.5</v>
      </c>
      <c r="H255" s="503">
        <f>IF($G$256&gt;0,G255/$G$256,0)</f>
        <v>0.5078528224438192</v>
      </c>
      <c r="I255" s="504"/>
      <c r="J255" s="834">
        <v>0.1149</v>
      </c>
      <c r="K255" s="318"/>
      <c r="L255" s="509">
        <f>H255*J255</f>
        <v>0.05835228929879483</v>
      </c>
      <c r="M255" s="325"/>
    </row>
    <row r="256" spans="2:13" ht="15.75">
      <c r="B256" s="327">
        <f>+B255+1</f>
        <v>157</v>
      </c>
      <c r="C256" s="353"/>
      <c r="D256" s="396" t="str">
        <f>" Total (Sum lns "&amp;B253&amp;" to "&amp;B255&amp;")"</f>
        <v> Total (Sum lns 154 to 156)</v>
      </c>
      <c r="F256" s="318"/>
      <c r="G256" s="361">
        <f>G255+G254+G253</f>
        <v>4342511688.5</v>
      </c>
      <c r="I256" s="499"/>
      <c r="J256" s="510"/>
      <c r="K256" s="410" t="s">
        <v>25</v>
      </c>
      <c r="L256" s="511">
        <f>SUM(L253:L255)</f>
        <v>0.0822065771926707</v>
      </c>
      <c r="M256" s="512"/>
    </row>
    <row r="257" spans="2:21" ht="15">
      <c r="B257" s="327"/>
      <c r="C257" s="368"/>
      <c r="D257" s="368"/>
      <c r="E257" s="330"/>
      <c r="F257" s="330"/>
      <c r="G257" s="330"/>
      <c r="H257" s="330"/>
      <c r="I257" s="330"/>
      <c r="J257" s="325"/>
      <c r="K257" s="322"/>
      <c r="L257" s="325"/>
      <c r="M257" s="322"/>
      <c r="N257" s="338"/>
      <c r="O257" s="338"/>
      <c r="P257" s="338"/>
      <c r="Q257" s="338"/>
      <c r="R257" s="338"/>
      <c r="S257" s="338"/>
      <c r="T257" s="338"/>
      <c r="U257" s="338"/>
    </row>
    <row r="258" spans="2:21" ht="15.75">
      <c r="B258" s="420"/>
      <c r="C258" s="328"/>
      <c r="D258" s="315"/>
      <c r="E258" s="315"/>
      <c r="F258" s="422" t="str">
        <f>F214</f>
        <v>AEP East Companies </v>
      </c>
      <c r="G258" s="316"/>
      <c r="H258" s="325"/>
      <c r="I258" s="325"/>
      <c r="J258" s="325"/>
      <c r="K258" s="322"/>
      <c r="L258" s="325"/>
      <c r="M258" s="513"/>
      <c r="N258" s="338"/>
      <c r="O258" s="338"/>
      <c r="P258" s="338"/>
      <c r="Q258" s="338"/>
      <c r="R258" s="338"/>
      <c r="S258" s="338"/>
      <c r="T258" s="338"/>
      <c r="U258" s="338"/>
    </row>
    <row r="259" spans="2:21" ht="15">
      <c r="B259" s="420"/>
      <c r="C259" s="328"/>
      <c r="D259" s="514"/>
      <c r="E259" s="328"/>
      <c r="F259" s="422" t="str">
        <f>F215</f>
        <v>Transmission Cost of Service Formula Rate</v>
      </c>
      <c r="G259" s="325"/>
      <c r="H259" s="325"/>
      <c r="I259" s="325"/>
      <c r="J259" s="325"/>
      <c r="K259" s="322"/>
      <c r="L259" s="341"/>
      <c r="M259" s="378"/>
      <c r="N259" s="338"/>
      <c r="O259" s="338"/>
      <c r="P259" s="338"/>
      <c r="Q259" s="338"/>
      <c r="R259" s="338"/>
      <c r="S259" s="338"/>
      <c r="T259" s="338"/>
      <c r="U259" s="338"/>
    </row>
    <row r="260" spans="2:21" ht="15.75">
      <c r="B260" s="420"/>
      <c r="C260" s="328"/>
      <c r="D260" s="514"/>
      <c r="E260" s="428"/>
      <c r="F260" s="422" t="str">
        <f>F216</f>
        <v>Utilizing  Actual/Projected FERC Form 1 Data</v>
      </c>
      <c r="G260" s="325"/>
      <c r="H260" s="325"/>
      <c r="I260" s="325"/>
      <c r="J260" s="325"/>
      <c r="K260" s="322"/>
      <c r="L260" s="341"/>
      <c r="M260" s="513"/>
      <c r="N260" s="338"/>
      <c r="O260" s="338"/>
      <c r="P260" s="338"/>
      <c r="Q260" s="338"/>
      <c r="R260" s="338"/>
      <c r="S260" s="338"/>
      <c r="T260" s="338"/>
      <c r="U260" s="338"/>
    </row>
    <row r="261" spans="2:21" ht="15.75">
      <c r="B261" s="327"/>
      <c r="C261" s="328"/>
      <c r="D261" s="514"/>
      <c r="E261" s="428"/>
      <c r="F261" s="422"/>
      <c r="G261" s="325"/>
      <c r="H261" s="325"/>
      <c r="I261" s="325"/>
      <c r="J261" s="325"/>
      <c r="K261" s="322"/>
      <c r="L261" s="341"/>
      <c r="M261" s="318"/>
      <c r="N261" s="338"/>
      <c r="O261" s="338"/>
      <c r="P261" s="338"/>
      <c r="Q261" s="338"/>
      <c r="R261" s="338"/>
      <c r="S261" s="338"/>
      <c r="T261" s="338"/>
      <c r="U261" s="338"/>
    </row>
    <row r="262" spans="2:21" ht="15.75">
      <c r="B262" s="327"/>
      <c r="C262" s="328"/>
      <c r="D262" s="514"/>
      <c r="E262" s="428"/>
      <c r="F262" s="422" t="str">
        <f>F218</f>
        <v>INDIANA MICHIGAN POWER COMPANY</v>
      </c>
      <c r="G262" s="325"/>
      <c r="H262" s="325"/>
      <c r="I262" s="325"/>
      <c r="J262" s="325"/>
      <c r="K262" s="322"/>
      <c r="L262" s="341"/>
      <c r="M262" s="318"/>
      <c r="N262" s="338"/>
      <c r="O262" s="338"/>
      <c r="P262" s="338"/>
      <c r="Q262" s="338"/>
      <c r="R262" s="338"/>
      <c r="S262" s="338"/>
      <c r="T262" s="338"/>
      <c r="U262" s="338"/>
    </row>
    <row r="263" spans="2:21" ht="15.75">
      <c r="B263" s="327"/>
      <c r="C263" s="328"/>
      <c r="D263" s="514"/>
      <c r="E263" s="428"/>
      <c r="F263" s="422"/>
      <c r="G263" s="325"/>
      <c r="H263" s="325"/>
      <c r="I263" s="325"/>
      <c r="J263" s="325"/>
      <c r="K263" s="322"/>
      <c r="L263" s="341"/>
      <c r="M263" s="318"/>
      <c r="N263" s="338"/>
      <c r="O263" s="338"/>
      <c r="P263" s="338"/>
      <c r="Q263" s="338"/>
      <c r="R263" s="338"/>
      <c r="S263" s="338"/>
      <c r="T263" s="338"/>
      <c r="U263" s="338"/>
    </row>
    <row r="264" spans="2:21" ht="15.75">
      <c r="B264" s="515" t="s">
        <v>178</v>
      </c>
      <c r="C264" s="335"/>
      <c r="D264" s="364"/>
      <c r="E264" s="338"/>
      <c r="F264" s="515" t="s">
        <v>177</v>
      </c>
      <c r="G264" s="343"/>
      <c r="H264" s="343"/>
      <c r="I264" s="343"/>
      <c r="J264" s="343"/>
      <c r="K264" s="338"/>
      <c r="L264" s="343"/>
      <c r="M264" s="318"/>
      <c r="N264" s="338"/>
      <c r="O264" s="338"/>
      <c r="P264" s="338"/>
      <c r="Q264" s="338"/>
      <c r="R264" s="338"/>
      <c r="S264" s="338"/>
      <c r="T264" s="338"/>
      <c r="U264" s="338"/>
    </row>
    <row r="265" spans="3:21" ht="15">
      <c r="C265" s="335"/>
      <c r="L265" s="341"/>
      <c r="M265" s="318"/>
      <c r="N265" s="338"/>
      <c r="O265" s="338"/>
      <c r="P265" s="338"/>
      <c r="Q265" s="338"/>
      <c r="R265" s="338"/>
      <c r="S265" s="338"/>
      <c r="T265" s="338"/>
      <c r="U265" s="338"/>
    </row>
    <row r="266" spans="2:21" ht="15">
      <c r="B266" s="327"/>
      <c r="C266" s="328"/>
      <c r="D266" s="319" t="s">
        <v>5</v>
      </c>
      <c r="E266" s="353"/>
      <c r="F266" s="353"/>
      <c r="G266" s="343"/>
      <c r="H266" s="343"/>
      <c r="I266" s="343"/>
      <c r="J266" s="343"/>
      <c r="K266" s="338"/>
      <c r="L266" s="343"/>
      <c r="M266" s="338"/>
      <c r="N266" s="338"/>
      <c r="O266" s="338"/>
      <c r="P266" s="338"/>
      <c r="Q266" s="338"/>
      <c r="R266" s="338"/>
      <c r="S266" s="338"/>
      <c r="T266" s="338"/>
      <c r="U266" s="338"/>
    </row>
    <row r="267" spans="2:21" ht="15">
      <c r="B267" s="313"/>
      <c r="D267" s="364"/>
      <c r="E267" s="338"/>
      <c r="F267" s="338"/>
      <c r="G267" s="343"/>
      <c r="H267" s="343"/>
      <c r="I267" s="343"/>
      <c r="J267" s="343"/>
      <c r="K267" s="338"/>
      <c r="L267" s="343"/>
      <c r="M267" s="338"/>
      <c r="N267" s="338"/>
      <c r="O267" s="338"/>
      <c r="P267" s="338"/>
      <c r="Q267" s="338"/>
      <c r="R267" s="338"/>
      <c r="S267" s="338"/>
      <c r="T267" s="338"/>
      <c r="U267" s="338"/>
    </row>
    <row r="268" spans="2:21" ht="3.75" customHeight="1">
      <c r="B268" s="313"/>
      <c r="D268" s="364"/>
      <c r="E268" s="338"/>
      <c r="F268" s="338"/>
      <c r="G268" s="343"/>
      <c r="H268" s="343"/>
      <c r="I268" s="343"/>
      <c r="J268" s="343"/>
      <c r="K268" s="338"/>
      <c r="L268" s="343"/>
      <c r="M268" s="338"/>
      <c r="N268" s="338"/>
      <c r="O268" s="338"/>
      <c r="P268" s="338"/>
      <c r="Q268" s="338"/>
      <c r="R268" s="338"/>
      <c r="S268" s="338"/>
      <c r="T268" s="338"/>
      <c r="U268" s="338"/>
    </row>
    <row r="269" spans="2:21" ht="15">
      <c r="B269" s="516" t="s">
        <v>150</v>
      </c>
      <c r="C269" s="335"/>
      <c r="D269" s="364" t="s">
        <v>479</v>
      </c>
      <c r="E269" s="338"/>
      <c r="F269" s="338"/>
      <c r="G269" s="343"/>
      <c r="H269" s="343"/>
      <c r="I269" s="343"/>
      <c r="J269" s="343"/>
      <c r="K269" s="338"/>
      <c r="L269" s="343"/>
      <c r="M269" s="338"/>
      <c r="N269" s="338"/>
      <c r="O269" s="338"/>
      <c r="P269" s="338"/>
      <c r="Q269" s="338"/>
      <c r="R269" s="338"/>
      <c r="S269" s="338"/>
      <c r="T269" s="338"/>
      <c r="U269" s="338"/>
    </row>
    <row r="270" spans="2:21" ht="15">
      <c r="B270" s="516"/>
      <c r="C270" s="423"/>
      <c r="D270" s="364" t="s">
        <v>371</v>
      </c>
      <c r="E270" s="338"/>
      <c r="F270" s="338"/>
      <c r="G270" s="338"/>
      <c r="H270" s="338"/>
      <c r="I270" s="338"/>
      <c r="J270" s="338"/>
      <c r="K270" s="338"/>
      <c r="L270" s="338"/>
      <c r="M270" s="338"/>
      <c r="N270" s="338"/>
      <c r="O270" s="338"/>
      <c r="P270" s="338"/>
      <c r="Q270" s="338"/>
      <c r="R270" s="338"/>
      <c r="S270" s="338"/>
      <c r="T270" s="338"/>
      <c r="U270" s="338"/>
    </row>
    <row r="271" spans="2:21" ht="15">
      <c r="B271" s="517"/>
      <c r="C271" s="318"/>
      <c r="D271" s="313" t="s">
        <v>372</v>
      </c>
      <c r="E271" s="518"/>
      <c r="F271" s="518"/>
      <c r="G271" s="338"/>
      <c r="H271" s="338"/>
      <c r="I271" s="338"/>
      <c r="J271" s="338"/>
      <c r="K271" s="338"/>
      <c r="L271" s="338"/>
      <c r="M271" s="338"/>
      <c r="N271" s="338"/>
      <c r="O271" s="338"/>
      <c r="P271" s="338"/>
      <c r="Q271" s="338"/>
      <c r="R271" s="338"/>
      <c r="S271" s="338"/>
      <c r="T271" s="338"/>
      <c r="U271" s="338"/>
    </row>
    <row r="272" spans="2:21" ht="15">
      <c r="B272" s="517"/>
      <c r="C272" s="318"/>
      <c r="D272" s="364" t="s">
        <v>480</v>
      </c>
      <c r="E272" s="338"/>
      <c r="F272" s="338"/>
      <c r="G272" s="338"/>
      <c r="H272" s="338"/>
      <c r="I272" s="338"/>
      <c r="J272" s="338"/>
      <c r="K272" s="338"/>
      <c r="L272" s="338"/>
      <c r="M272" s="338"/>
      <c r="N272" s="338"/>
      <c r="O272" s="338"/>
      <c r="P272" s="338"/>
      <c r="Q272" s="338"/>
      <c r="R272" s="338"/>
      <c r="S272" s="338"/>
      <c r="T272" s="338"/>
      <c r="U272" s="338"/>
    </row>
    <row r="273" spans="2:21" ht="15">
      <c r="B273" s="352"/>
      <c r="C273" s="353"/>
      <c r="D273" s="364" t="s">
        <v>481</v>
      </c>
      <c r="E273" s="338"/>
      <c r="F273" s="338"/>
      <c r="G273" s="338"/>
      <c r="H273" s="338"/>
      <c r="I273" s="338"/>
      <c r="J273" s="338"/>
      <c r="K273" s="338"/>
      <c r="L273" s="338"/>
      <c r="M273" s="338"/>
      <c r="N273" s="338"/>
      <c r="O273" s="338"/>
      <c r="P273" s="338"/>
      <c r="Q273" s="338"/>
      <c r="R273" s="338"/>
      <c r="S273" s="338"/>
      <c r="T273" s="338"/>
      <c r="U273" s="338"/>
    </row>
    <row r="274" spans="2:21" ht="15">
      <c r="B274" s="352"/>
      <c r="C274" s="353"/>
      <c r="D274" s="364" t="s">
        <v>373</v>
      </c>
      <c r="E274" s="338"/>
      <c r="F274" s="338"/>
      <c r="G274" s="338"/>
      <c r="H274" s="338"/>
      <c r="I274" s="338"/>
      <c r="J274" s="338"/>
      <c r="K274" s="338"/>
      <c r="L274" s="338"/>
      <c r="M274" s="338"/>
      <c r="N274" s="338"/>
      <c r="O274" s="338"/>
      <c r="P274" s="338"/>
      <c r="Q274" s="338"/>
      <c r="R274" s="338"/>
      <c r="S274" s="338"/>
      <c r="T274" s="338"/>
      <c r="U274" s="338"/>
    </row>
    <row r="275" spans="2:21" ht="15">
      <c r="B275" s="352"/>
      <c r="C275" s="353"/>
      <c r="D275" s="364" t="s">
        <v>374</v>
      </c>
      <c r="E275" s="338"/>
      <c r="F275" s="338"/>
      <c r="G275" s="338"/>
      <c r="H275" s="338"/>
      <c r="I275" s="338"/>
      <c r="J275" s="338"/>
      <c r="K275" s="338"/>
      <c r="L275" s="338"/>
      <c r="M275" s="338"/>
      <c r="N275" s="338"/>
      <c r="O275" s="338"/>
      <c r="P275" s="338"/>
      <c r="Q275" s="338"/>
      <c r="R275" s="338"/>
      <c r="S275" s="338"/>
      <c r="T275" s="338"/>
      <c r="U275" s="338"/>
    </row>
    <row r="276" spans="2:21" ht="45" customHeight="1">
      <c r="B276" s="352"/>
      <c r="C276" s="353"/>
      <c r="D276" s="1476" t="s">
        <v>580</v>
      </c>
      <c r="E276" s="1476"/>
      <c r="F276" s="1476"/>
      <c r="G276" s="1476"/>
      <c r="H276" s="1476"/>
      <c r="I276" s="1476"/>
      <c r="J276" s="1476"/>
      <c r="K276" s="1476"/>
      <c r="L276" s="1476"/>
      <c r="M276" s="338"/>
      <c r="N276" s="338"/>
      <c r="O276" s="338"/>
      <c r="P276" s="338"/>
      <c r="Q276" s="338"/>
      <c r="R276" s="338"/>
      <c r="S276" s="338"/>
      <c r="T276" s="338"/>
      <c r="U276" s="338"/>
    </row>
    <row r="277" spans="2:21" ht="15">
      <c r="B277" s="352"/>
      <c r="C277" s="353"/>
      <c r="D277" s="364" t="s">
        <v>489</v>
      </c>
      <c r="E277" s="338"/>
      <c r="F277" s="338"/>
      <c r="G277" s="338"/>
      <c r="H277" s="338"/>
      <c r="I277" s="338"/>
      <c r="J277" s="338"/>
      <c r="K277" s="338"/>
      <c r="L277" s="338"/>
      <c r="M277" s="338"/>
      <c r="N277" s="338"/>
      <c r="O277" s="338"/>
      <c r="P277" s="338"/>
      <c r="Q277" s="338"/>
      <c r="R277" s="338"/>
      <c r="S277" s="338"/>
      <c r="T277" s="338"/>
      <c r="U277" s="338"/>
    </row>
    <row r="278" spans="2:21" ht="15">
      <c r="B278" s="352"/>
      <c r="C278" s="353"/>
      <c r="D278" s="519"/>
      <c r="E278" s="338"/>
      <c r="F278" s="338"/>
      <c r="G278" s="338"/>
      <c r="H278" s="338"/>
      <c r="I278" s="338"/>
      <c r="J278" s="338"/>
      <c r="K278" s="338"/>
      <c r="L278" s="364"/>
      <c r="M278" s="338"/>
      <c r="N278" s="338"/>
      <c r="O278" s="338"/>
      <c r="P278" s="338"/>
      <c r="Q278" s="338"/>
      <c r="R278" s="338"/>
      <c r="S278" s="338"/>
      <c r="T278" s="338"/>
      <c r="U278" s="338"/>
    </row>
    <row r="279" spans="2:21" ht="15" customHeight="1">
      <c r="B279" s="352" t="s">
        <v>151</v>
      </c>
      <c r="C279" s="353"/>
      <c r="D279" s="1452" t="s">
        <v>600</v>
      </c>
      <c r="E279" s="1453"/>
      <c r="F279" s="1453"/>
      <c r="G279" s="1453"/>
      <c r="H279" s="1453"/>
      <c r="I279" s="1453"/>
      <c r="J279" s="1453"/>
      <c r="K279" s="1453"/>
      <c r="L279" s="364"/>
      <c r="M279" s="338"/>
      <c r="N279" s="338"/>
      <c r="O279" s="338"/>
      <c r="P279" s="338"/>
      <c r="Q279" s="338"/>
      <c r="R279" s="338"/>
      <c r="S279" s="338"/>
      <c r="T279" s="338"/>
      <c r="U279" s="338"/>
    </row>
    <row r="280" spans="2:21" ht="15">
      <c r="B280" s="352"/>
      <c r="C280" s="353"/>
      <c r="D280" s="1453"/>
      <c r="E280" s="1453"/>
      <c r="F280" s="1453"/>
      <c r="G280" s="1453"/>
      <c r="H280" s="1453"/>
      <c r="I280" s="1453"/>
      <c r="J280" s="1453"/>
      <c r="K280" s="1453"/>
      <c r="L280" s="364"/>
      <c r="M280" s="338"/>
      <c r="N280" s="338"/>
      <c r="O280" s="338"/>
      <c r="P280" s="338"/>
      <c r="Q280" s="338"/>
      <c r="R280" s="338"/>
      <c r="S280" s="338"/>
      <c r="T280" s="338"/>
      <c r="U280" s="338"/>
    </row>
    <row r="281" spans="5:21" ht="15">
      <c r="E281" s="338"/>
      <c r="F281" s="338"/>
      <c r="G281" s="338"/>
      <c r="H281" s="338"/>
      <c r="I281" s="338"/>
      <c r="J281" s="338"/>
      <c r="K281" s="338"/>
      <c r="L281" s="338"/>
      <c r="M281" s="338"/>
      <c r="N281" s="338"/>
      <c r="O281" s="338"/>
      <c r="P281" s="338"/>
      <c r="Q281" s="338"/>
      <c r="R281" s="338"/>
      <c r="S281" s="338"/>
      <c r="T281" s="338"/>
      <c r="U281" s="338"/>
    </row>
    <row r="282" spans="2:21" ht="15">
      <c r="B282" s="352" t="s">
        <v>152</v>
      </c>
      <c r="C282" s="353"/>
      <c r="D282" s="520" t="s">
        <v>581</v>
      </c>
      <c r="E282" s="338"/>
      <c r="F282" s="338"/>
      <c r="G282" s="338"/>
      <c r="H282" s="338"/>
      <c r="I282" s="338"/>
      <c r="J282" s="338"/>
      <c r="K282" s="338"/>
      <c r="L282" s="338"/>
      <c r="M282" s="338"/>
      <c r="N282" s="338"/>
      <c r="O282" s="338"/>
      <c r="P282" s="338"/>
      <c r="Q282" s="338"/>
      <c r="R282" s="338"/>
      <c r="S282" s="338"/>
      <c r="T282" s="338"/>
      <c r="U282" s="338"/>
    </row>
    <row r="283" spans="2:21" ht="15">
      <c r="B283" s="352"/>
      <c r="C283" s="353"/>
      <c r="D283" s="520"/>
      <c r="E283" s="338"/>
      <c r="F283" s="338"/>
      <c r="G283" s="338"/>
      <c r="H283" s="338"/>
      <c r="I283" s="338"/>
      <c r="J283" s="338"/>
      <c r="K283" s="338"/>
      <c r="L283" s="338"/>
      <c r="M283" s="338"/>
      <c r="N283" s="338"/>
      <c r="O283" s="338"/>
      <c r="P283" s="338"/>
      <c r="Q283" s="338"/>
      <c r="R283" s="338"/>
      <c r="S283" s="338"/>
      <c r="T283" s="338"/>
      <c r="U283" s="338"/>
    </row>
    <row r="284" spans="2:21" ht="15">
      <c r="B284" s="352" t="s">
        <v>153</v>
      </c>
      <c r="C284" s="353"/>
      <c r="D284" s="1476" t="s">
        <v>583</v>
      </c>
      <c r="E284" s="1476"/>
      <c r="F284" s="1476"/>
      <c r="G284" s="1476"/>
      <c r="H284" s="1476"/>
      <c r="I284" s="1476"/>
      <c r="J284" s="1476"/>
      <c r="K284" s="1476"/>
      <c r="L284" s="1476"/>
      <c r="M284" s="338"/>
      <c r="N284" s="338"/>
      <c r="O284" s="338"/>
      <c r="P284" s="364"/>
      <c r="Q284" s="364"/>
      <c r="R284" s="338"/>
      <c r="S284" s="338"/>
      <c r="T284" s="338"/>
      <c r="U284" s="338"/>
    </row>
    <row r="285" spans="2:21" ht="15">
      <c r="B285" s="352"/>
      <c r="C285" s="353"/>
      <c r="D285" s="1476"/>
      <c r="E285" s="1476"/>
      <c r="F285" s="1476"/>
      <c r="G285" s="1476"/>
      <c r="H285" s="1476"/>
      <c r="I285" s="1476"/>
      <c r="J285" s="1476"/>
      <c r="K285" s="1476"/>
      <c r="L285" s="1476"/>
      <c r="M285" s="338"/>
      <c r="N285" s="338"/>
      <c r="O285" s="338"/>
      <c r="P285" s="364"/>
      <c r="Q285" s="364"/>
      <c r="R285" s="338"/>
      <c r="S285" s="338"/>
      <c r="T285" s="338"/>
      <c r="U285" s="338"/>
    </row>
    <row r="286" spans="2:21" ht="15">
      <c r="B286" s="352"/>
      <c r="C286" s="353"/>
      <c r="D286" s="364" t="s">
        <v>584</v>
      </c>
      <c r="E286" s="338"/>
      <c r="F286" s="338"/>
      <c r="G286" s="338"/>
      <c r="H286" s="338"/>
      <c r="I286" s="338"/>
      <c r="J286" s="338"/>
      <c r="K286" s="338"/>
      <c r="L286" s="475"/>
      <c r="M286" s="338"/>
      <c r="N286" s="338"/>
      <c r="O286" s="338"/>
      <c r="P286" s="364"/>
      <c r="Q286" s="364"/>
      <c r="R286" s="338"/>
      <c r="S286" s="338"/>
      <c r="T286" s="338"/>
      <c r="U286" s="338"/>
    </row>
    <row r="287" spans="2:21" ht="15">
      <c r="B287" s="352"/>
      <c r="C287" s="353"/>
      <c r="D287" s="364" t="s">
        <v>585</v>
      </c>
      <c r="E287" s="338"/>
      <c r="F287" s="338"/>
      <c r="G287" s="338"/>
      <c r="H287" s="338"/>
      <c r="I287" s="338"/>
      <c r="J287" s="338"/>
      <c r="K287" s="338"/>
      <c r="L287" s="475"/>
      <c r="M287" s="338"/>
      <c r="N287" s="338"/>
      <c r="O287" s="338"/>
      <c r="P287" s="364"/>
      <c r="Q287" s="338"/>
      <c r="R287" s="338"/>
      <c r="S287" s="338"/>
      <c r="T287" s="338"/>
      <c r="U287" s="338"/>
    </row>
    <row r="288" spans="2:21" ht="30" customHeight="1">
      <c r="B288" s="352"/>
      <c r="C288" s="353"/>
      <c r="D288" s="1476" t="s">
        <v>582</v>
      </c>
      <c r="E288" s="1476"/>
      <c r="F288" s="1476"/>
      <c r="G288" s="1476"/>
      <c r="H288" s="1476"/>
      <c r="I288" s="1476"/>
      <c r="J288" s="1476"/>
      <c r="K288" s="1476"/>
      <c r="L288" s="1476"/>
      <c r="M288" s="338"/>
      <c r="N288" s="338"/>
      <c r="O288" s="338"/>
      <c r="P288" s="364"/>
      <c r="Q288" s="338"/>
      <c r="R288" s="338"/>
      <c r="S288" s="338"/>
      <c r="T288" s="338"/>
      <c r="U288" s="338"/>
    </row>
    <row r="289" spans="2:21" ht="21.75" customHeight="1">
      <c r="B289" s="352" t="s">
        <v>154</v>
      </c>
      <c r="C289" s="364"/>
      <c r="D289" s="364" t="str">
        <f>"Cash Working Capital assigned to transmission is one-eighth of O&amp;M allocated to transmission, as shown on line "&amp;B147&amp;". It excludes:"</f>
        <v>Cash Working Capital assigned to transmission is one-eighth of O&amp;M allocated to transmission, as shown on line 78. It excludes:</v>
      </c>
      <c r="E289" s="521"/>
      <c r="F289" s="521"/>
      <c r="G289" s="521"/>
      <c r="H289" s="521"/>
      <c r="I289" s="521"/>
      <c r="J289" s="521"/>
      <c r="K289" s="521"/>
      <c r="L289" s="521"/>
      <c r="M289" s="338"/>
      <c r="N289" s="338"/>
      <c r="O289" s="338"/>
      <c r="P289" s="338"/>
      <c r="Q289" s="338"/>
      <c r="R289" s="338"/>
      <c r="S289" s="338"/>
      <c r="T289" s="338"/>
      <c r="U289" s="338"/>
    </row>
    <row r="290" spans="2:21" ht="15">
      <c r="B290" s="352"/>
      <c r="C290" s="364"/>
      <c r="D290" s="522" t="str">
        <f>+"1)  Load Scheduling &amp; Dispatch Charges in account 561 that are collected in the OATT Ancillary Services Revenue, as shown on line "&amp;B144&amp;"."</f>
        <v>1)  Load Scheduling &amp; Dispatch Charges in account 561 that are collected in the OATT Ancillary Services Revenue, as shown on line 75.</v>
      </c>
      <c r="E290" s="398"/>
      <c r="F290" s="398"/>
      <c r="G290" s="398"/>
      <c r="H290" s="398"/>
      <c r="I290" s="398"/>
      <c r="J290" s="398"/>
      <c r="K290" s="398"/>
      <c r="L290" s="398"/>
      <c r="M290" s="338"/>
      <c r="N290" s="338"/>
      <c r="O290" s="338"/>
      <c r="P290" s="338"/>
      <c r="Q290" s="338"/>
      <c r="R290" s="338"/>
      <c r="S290" s="338"/>
      <c r="T290" s="338"/>
      <c r="U290" s="338"/>
    </row>
    <row r="291" spans="2:21" ht="15">
      <c r="B291" s="352"/>
      <c r="C291" s="364"/>
      <c r="D291" s="523" t="str">
        <f>+"2)  Costs of Transmission of Electricity by Others, as described in Note H."</f>
        <v>2)  Costs of Transmission of Electricity by Others, as described in Note H.</v>
      </c>
      <c r="E291" s="521"/>
      <c r="F291" s="521"/>
      <c r="G291" s="521"/>
      <c r="H291" s="521"/>
      <c r="I291" s="521"/>
      <c r="J291" s="521"/>
      <c r="K291" s="521"/>
      <c r="L291" s="521"/>
      <c r="M291" s="338"/>
      <c r="N291" s="338"/>
      <c r="O291" s="338"/>
      <c r="P291" s="338"/>
      <c r="Q291" s="338"/>
      <c r="R291" s="338"/>
      <c r="S291" s="338"/>
      <c r="T291" s="338"/>
      <c r="U291" s="338"/>
    </row>
    <row r="292" spans="2:21" ht="15">
      <c r="B292" s="352"/>
      <c r="C292" s="364"/>
      <c r="D292" s="522" t="str">
        <f>+"3)  The impact of state regulatory deferrals and amortizations, as shown on line  "&amp;B146&amp;""</f>
        <v>3)  The impact of state regulatory deferrals and amortizations, as shown on line  77</v>
      </c>
      <c r="E292" s="398"/>
      <c r="F292" s="398"/>
      <c r="G292" s="398"/>
      <c r="H292" s="398"/>
      <c r="I292" s="398"/>
      <c r="J292" s="398"/>
      <c r="K292" s="398"/>
      <c r="L292" s="398"/>
      <c r="M292" s="338"/>
      <c r="N292" s="338"/>
      <c r="O292" s="338"/>
      <c r="P292" s="338"/>
      <c r="Q292" s="338"/>
      <c r="R292" s="338"/>
      <c r="S292" s="338"/>
      <c r="T292" s="338"/>
      <c r="U292" s="338"/>
    </row>
    <row r="293" spans="2:21" ht="15">
      <c r="B293" s="352"/>
      <c r="C293" s="398"/>
      <c r="D293" s="523" t="str">
        <f>"4) All A&amp;G Expenses, as shown on line "&amp;B163&amp;"."</f>
        <v>4) All A&amp;G Expenses, as shown on line 93.</v>
      </c>
      <c r="E293" s="521"/>
      <c r="F293" s="521"/>
      <c r="G293" s="521"/>
      <c r="H293" s="521"/>
      <c r="I293" s="521"/>
      <c r="J293" s="521"/>
      <c r="K293" s="521"/>
      <c r="L293" s="521"/>
      <c r="M293" s="338"/>
      <c r="N293" s="338"/>
      <c r="O293" s="338"/>
      <c r="P293" s="338"/>
      <c r="Q293" s="338"/>
      <c r="R293" s="338"/>
      <c r="S293" s="338"/>
      <c r="T293" s="338"/>
      <c r="U293" s="338"/>
    </row>
    <row r="294" spans="2:21" ht="15">
      <c r="B294" s="352"/>
      <c r="C294" s="353"/>
      <c r="D294" s="522"/>
      <c r="E294" s="524"/>
      <c r="F294" s="524"/>
      <c r="G294" s="524"/>
      <c r="H294" s="524"/>
      <c r="I294" s="524"/>
      <c r="J294" s="524"/>
      <c r="K294" s="524"/>
      <c r="L294" s="524"/>
      <c r="M294" s="338"/>
      <c r="N294" s="338"/>
      <c r="O294" s="338"/>
      <c r="P294" s="338"/>
      <c r="Q294" s="338"/>
      <c r="R294" s="338"/>
      <c r="S294" s="338"/>
      <c r="T294" s="338"/>
      <c r="U294" s="338"/>
    </row>
    <row r="295" spans="2:21" ht="15">
      <c r="B295" s="516" t="s">
        <v>155</v>
      </c>
      <c r="C295" s="423"/>
      <c r="D295" s="525" t="str">
        <f>"Consistent with Paragraph 657 of Order 2003-A, the amount on line "&amp;B121&amp;" is equal to the balance of IPP System Upgrade Credits owed to transmission customers that"</f>
        <v>Consistent with Paragraph 657 of Order 2003-A, the amount on line 67 is equal to the balance of IPP System Upgrade Credits owed to transmission customers that</v>
      </c>
      <c r="E295" s="525"/>
      <c r="F295" s="525"/>
      <c r="G295" s="525"/>
      <c r="H295" s="525"/>
      <c r="I295" s="525"/>
      <c r="J295" s="525"/>
      <c r="K295" s="525"/>
      <c r="L295" s="525"/>
      <c r="M295" s="338"/>
      <c r="N295" s="338"/>
      <c r="O295" s="338"/>
      <c r="P295" s="338"/>
      <c r="Q295" s="338"/>
      <c r="R295" s="338"/>
      <c r="S295" s="338"/>
      <c r="T295" s="338"/>
      <c r="U295" s="338"/>
    </row>
    <row r="296" spans="2:21" ht="15">
      <c r="B296" s="517"/>
      <c r="C296" s="318"/>
      <c r="D296" s="525" t="s">
        <v>220</v>
      </c>
      <c r="E296" s="525"/>
      <c r="F296" s="525"/>
      <c r="G296" s="525"/>
      <c r="H296" s="525"/>
      <c r="I296" s="525"/>
      <c r="J296" s="525"/>
      <c r="K296" s="525"/>
      <c r="L296" s="525"/>
      <c r="M296" s="338"/>
      <c r="N296" s="338"/>
      <c r="O296" s="338"/>
      <c r="P296" s="338"/>
      <c r="Q296" s="338"/>
      <c r="R296" s="338"/>
      <c r="S296" s="338"/>
      <c r="T296" s="338"/>
      <c r="U296" s="338"/>
    </row>
    <row r="297" spans="2:21" ht="15">
      <c r="B297" s="517"/>
      <c r="C297" s="318"/>
      <c r="D297" s="525" t="str">
        <f>"expense is included on line "&amp;B205&amp;"."</f>
        <v>expense is included on line 127.</v>
      </c>
      <c r="E297" s="525"/>
      <c r="F297" s="525"/>
      <c r="G297" s="525"/>
      <c r="H297" s="525"/>
      <c r="I297" s="525"/>
      <c r="J297" s="525"/>
      <c r="K297" s="525"/>
      <c r="L297" s="525"/>
      <c r="M297" s="338"/>
      <c r="N297" s="338"/>
      <c r="O297" s="338"/>
      <c r="P297" s="338"/>
      <c r="Q297" s="338"/>
      <c r="R297" s="338"/>
      <c r="S297" s="338"/>
      <c r="T297" s="338"/>
      <c r="U297" s="338"/>
    </row>
    <row r="298" spans="2:21" ht="15">
      <c r="B298" s="517"/>
      <c r="C298" s="318"/>
      <c r="D298" s="525"/>
      <c r="E298" s="525"/>
      <c r="F298" s="525"/>
      <c r="G298" s="525"/>
      <c r="H298" s="525"/>
      <c r="I298" s="525"/>
      <c r="J298" s="525"/>
      <c r="K298" s="525"/>
      <c r="L298" s="525"/>
      <c r="M298" s="318"/>
      <c r="N298" s="338"/>
      <c r="O298" s="338"/>
      <c r="P298" s="338"/>
      <c r="Q298" s="338"/>
      <c r="R298" s="338"/>
      <c r="S298" s="338"/>
      <c r="T298" s="338"/>
      <c r="U298" s="338"/>
    </row>
    <row r="299" spans="2:21" ht="15">
      <c r="B299" s="516" t="s">
        <v>156</v>
      </c>
      <c r="C299" s="318"/>
      <c r="D299" s="1462"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299" s="1462"/>
      <c r="F299" s="1462"/>
      <c r="G299" s="1462"/>
      <c r="H299" s="1462"/>
      <c r="I299" s="1462"/>
      <c r="J299" s="1462"/>
      <c r="K299" s="1462"/>
      <c r="L299" s="525"/>
      <c r="M299" s="318"/>
      <c r="N299" s="338"/>
      <c r="O299" s="338"/>
      <c r="P299" s="338"/>
      <c r="Q299" s="338"/>
      <c r="R299" s="338"/>
      <c r="S299" s="338"/>
      <c r="T299" s="338"/>
      <c r="U299" s="338"/>
    </row>
    <row r="300" spans="2:21" ht="15">
      <c r="B300" s="516"/>
      <c r="C300" s="318"/>
      <c r="D300" s="1462"/>
      <c r="E300" s="1462"/>
      <c r="F300" s="1462"/>
      <c r="G300" s="1462"/>
      <c r="H300" s="1462"/>
      <c r="I300" s="1462"/>
      <c r="J300" s="1462"/>
      <c r="K300" s="1462"/>
      <c r="L300" s="525"/>
      <c r="M300" s="318"/>
      <c r="N300" s="338"/>
      <c r="O300" s="338"/>
      <c r="P300" s="338"/>
      <c r="Q300" s="338"/>
      <c r="R300" s="338"/>
      <c r="S300" s="338"/>
      <c r="T300" s="338"/>
      <c r="U300" s="338"/>
    </row>
    <row r="301" spans="2:21" ht="15">
      <c r="B301" s="516"/>
      <c r="C301" s="318"/>
      <c r="D301" s="1462"/>
      <c r="E301" s="1462"/>
      <c r="F301" s="1462"/>
      <c r="G301" s="1462"/>
      <c r="H301" s="1462"/>
      <c r="I301" s="1462"/>
      <c r="J301" s="1462"/>
      <c r="K301" s="1462"/>
      <c r="L301" s="525"/>
      <c r="M301" s="318"/>
      <c r="N301" s="338"/>
      <c r="O301" s="338"/>
      <c r="P301" s="338"/>
      <c r="Q301" s="338"/>
      <c r="R301" s="338"/>
      <c r="S301" s="338"/>
      <c r="T301" s="338"/>
      <c r="U301" s="338"/>
    </row>
    <row r="302" spans="2:21" ht="15">
      <c r="B302" s="516"/>
      <c r="C302" s="318"/>
      <c r="D302" s="522"/>
      <c r="E302" s="525"/>
      <c r="F302" s="525"/>
      <c r="G302" s="525"/>
      <c r="H302" s="525"/>
      <c r="I302" s="525"/>
      <c r="J302" s="525"/>
      <c r="K302" s="525"/>
      <c r="L302" s="525"/>
      <c r="M302" s="318"/>
      <c r="N302" s="338"/>
      <c r="O302" s="338"/>
      <c r="P302" s="338"/>
      <c r="Q302" s="338"/>
      <c r="R302" s="338"/>
      <c r="S302" s="338"/>
      <c r="T302" s="338"/>
      <c r="U302" s="338"/>
    </row>
    <row r="303" spans="2:21" ht="15">
      <c r="B303" s="516" t="s">
        <v>157</v>
      </c>
      <c r="C303" s="318"/>
      <c r="D303" s="1478" t="str">
        <f>"Removes cost of transmission service provided by others to determine the basis of cash working capital on line "&amp;B147&amp;". To the extent such service is incurred to provide the PJM service at issue, e.g. lease payments to affiliates, such cost is added back on line "&amp;B166&amp;" to determine the total O&amp;M collected in the formula.  The amounts on line "&amp;B166&amp;" is also excluded in the calculation of the FCR percentage calculated on lines "&amp;B27&amp;" through "&amp;B35&amp;"."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3" s="1478"/>
      <c r="F303" s="1478"/>
      <c r="G303" s="1478"/>
      <c r="H303" s="1478"/>
      <c r="I303" s="1478"/>
      <c r="J303" s="1478"/>
      <c r="K303" s="1478"/>
      <c r="L303" s="525"/>
      <c r="M303" s="318"/>
      <c r="N303" s="338"/>
      <c r="O303" s="338"/>
      <c r="P303" s="338"/>
      <c r="Q303" s="338"/>
      <c r="R303" s="338"/>
      <c r="S303" s="338"/>
      <c r="T303" s="338"/>
      <c r="U303" s="338"/>
    </row>
    <row r="304" spans="2:21" ht="15">
      <c r="B304" s="516"/>
      <c r="C304" s="318"/>
      <c r="D304" s="1478"/>
      <c r="E304" s="1478"/>
      <c r="F304" s="1478"/>
      <c r="G304" s="1478"/>
      <c r="H304" s="1478"/>
      <c r="I304" s="1478"/>
      <c r="J304" s="1478"/>
      <c r="K304" s="1478"/>
      <c r="L304" s="525"/>
      <c r="M304" s="318"/>
      <c r="N304" s="338"/>
      <c r="O304" s="338"/>
      <c r="P304" s="338"/>
      <c r="Q304" s="338"/>
      <c r="R304" s="338"/>
      <c r="S304" s="338"/>
      <c r="T304" s="338"/>
      <c r="U304" s="338"/>
    </row>
    <row r="305" spans="2:21" ht="15">
      <c r="B305" s="516"/>
      <c r="C305" s="318"/>
      <c r="D305" s="1479"/>
      <c r="E305" s="1479"/>
      <c r="F305" s="1479"/>
      <c r="G305" s="1479"/>
      <c r="H305" s="1479"/>
      <c r="I305" s="1479"/>
      <c r="J305" s="1479"/>
      <c r="K305" s="1479"/>
      <c r="L305" s="525"/>
      <c r="M305" s="318"/>
      <c r="N305" s="338"/>
      <c r="O305" s="338"/>
      <c r="P305" s="338"/>
      <c r="Q305" s="338"/>
      <c r="R305" s="338"/>
      <c r="S305" s="338"/>
      <c r="T305" s="338"/>
      <c r="U305" s="338"/>
    </row>
    <row r="306" spans="2:21" ht="15">
      <c r="B306" s="516"/>
      <c r="C306" s="318"/>
      <c r="D306" s="1456" t="str">
        <f>"The addbacks  on line "&amp;B166&amp;"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6" s="1456"/>
      <c r="F306" s="1456"/>
      <c r="G306" s="1456"/>
      <c r="H306" s="1456"/>
      <c r="I306" s="1456"/>
      <c r="J306" s="1456"/>
      <c r="K306" s="526"/>
      <c r="L306" s="525"/>
      <c r="M306" s="318"/>
      <c r="N306" s="338"/>
      <c r="O306" s="338"/>
      <c r="P306" s="338"/>
      <c r="Q306" s="338"/>
      <c r="R306" s="338"/>
      <c r="S306" s="338"/>
      <c r="T306" s="338"/>
      <c r="U306" s="338"/>
    </row>
    <row r="307" spans="2:21" ht="15">
      <c r="B307" s="516"/>
      <c r="C307" s="318"/>
      <c r="D307" s="1456"/>
      <c r="E307" s="1456"/>
      <c r="F307" s="1456"/>
      <c r="G307" s="1456"/>
      <c r="H307" s="1456"/>
      <c r="I307" s="1456"/>
      <c r="J307" s="1456"/>
      <c r="K307" s="526"/>
      <c r="L307" s="525"/>
      <c r="M307" s="318"/>
      <c r="N307" s="338"/>
      <c r="O307" s="338"/>
      <c r="P307" s="338"/>
      <c r="Q307" s="338"/>
      <c r="R307" s="338"/>
      <c r="S307" s="338"/>
      <c r="T307" s="338"/>
      <c r="U307" s="338"/>
    </row>
    <row r="308" spans="2:21" ht="15">
      <c r="B308" s="516"/>
      <c r="C308" s="318"/>
      <c r="D308" s="525" t="str">
        <f>"The company records referenced on line "&amp;B166&amp;" is the "&amp;F7&amp;" general ledger."</f>
        <v>The company records referenced on line 95 is the INDIANA MICHIGAN POWER COMPANY general ledger.</v>
      </c>
      <c r="E308" s="527"/>
      <c r="F308" s="527"/>
      <c r="G308" s="527"/>
      <c r="H308" s="527"/>
      <c r="I308" s="527"/>
      <c r="J308" s="527"/>
      <c r="K308" s="527"/>
      <c r="L308" s="525"/>
      <c r="M308" s="318"/>
      <c r="N308" s="338"/>
      <c r="O308" s="338"/>
      <c r="P308" s="338"/>
      <c r="Q308" s="338"/>
      <c r="R308" s="338"/>
      <c r="S308" s="338"/>
      <c r="T308" s="338"/>
      <c r="U308" s="338"/>
    </row>
    <row r="309" spans="2:21" ht="15">
      <c r="B309" s="516"/>
      <c r="C309" s="318"/>
      <c r="D309" s="525"/>
      <c r="E309" s="527"/>
      <c r="F309" s="527"/>
      <c r="G309" s="527"/>
      <c r="H309" s="527"/>
      <c r="I309" s="527"/>
      <c r="J309" s="527"/>
      <c r="K309" s="527"/>
      <c r="L309" s="525"/>
      <c r="M309" s="318"/>
      <c r="N309" s="338"/>
      <c r="O309" s="338"/>
      <c r="P309" s="338"/>
      <c r="Q309" s="338"/>
      <c r="R309" s="338"/>
      <c r="S309" s="338"/>
      <c r="T309" s="338"/>
      <c r="U309" s="338"/>
    </row>
    <row r="310" spans="2:21" ht="15">
      <c r="B310" s="516" t="s">
        <v>158</v>
      </c>
      <c r="C310" s="318"/>
      <c r="D310" s="318" t="s">
        <v>586</v>
      </c>
      <c r="E310" s="368"/>
      <c r="F310" s="368"/>
      <c r="G310" s="368"/>
      <c r="H310" s="368"/>
      <c r="I310" s="368"/>
      <c r="J310" s="368"/>
      <c r="K310" s="368"/>
      <c r="L310" s="528"/>
      <c r="M310" s="318"/>
      <c r="N310" s="338"/>
      <c r="O310" s="338"/>
      <c r="P310" s="338"/>
      <c r="Q310" s="338"/>
      <c r="R310" s="338"/>
      <c r="S310" s="338"/>
      <c r="T310" s="338"/>
      <c r="U310" s="338"/>
    </row>
    <row r="311" spans="2:21" ht="15">
      <c r="B311" s="516"/>
      <c r="C311" s="318"/>
      <c r="D311" s="528"/>
      <c r="E311" s="528"/>
      <c r="F311" s="528"/>
      <c r="G311" s="528"/>
      <c r="H311" s="528"/>
      <c r="I311" s="528"/>
      <c r="J311" s="528"/>
      <c r="K311" s="528"/>
      <c r="L311" s="528"/>
      <c r="M311" s="318"/>
      <c r="N311" s="338"/>
      <c r="O311" s="338"/>
      <c r="P311" s="338"/>
      <c r="Q311" s="338"/>
      <c r="R311" s="338"/>
      <c r="S311" s="338"/>
      <c r="T311" s="338"/>
      <c r="U311" s="338"/>
    </row>
    <row r="312" spans="2:21" ht="15">
      <c r="B312" s="516" t="s">
        <v>159</v>
      </c>
      <c r="C312" s="318"/>
      <c r="D312" s="1460" t="s">
        <v>49</v>
      </c>
      <c r="E312" s="1453"/>
      <c r="F312" s="1453"/>
      <c r="G312" s="1453"/>
      <c r="H312" s="1453"/>
      <c r="I312" s="1453"/>
      <c r="J312" s="1453"/>
      <c r="K312" s="525"/>
      <c r="L312" s="525"/>
      <c r="M312" s="318"/>
      <c r="N312" s="338"/>
      <c r="O312" s="338"/>
      <c r="P312" s="338"/>
      <c r="Q312" s="338"/>
      <c r="R312" s="338"/>
      <c r="S312" s="338"/>
      <c r="T312" s="338"/>
      <c r="U312" s="338"/>
    </row>
    <row r="313" spans="2:21" ht="15">
      <c r="B313" s="516"/>
      <c r="C313" s="318"/>
      <c r="D313" s="1461"/>
      <c r="E313" s="1461"/>
      <c r="F313" s="1461"/>
      <c r="G313" s="1461"/>
      <c r="H313" s="1461"/>
      <c r="I313" s="1461"/>
      <c r="J313" s="1461"/>
      <c r="K313" s="528"/>
      <c r="L313" s="528"/>
      <c r="M313" s="318"/>
      <c r="N313" s="338"/>
      <c r="O313" s="338"/>
      <c r="P313" s="338"/>
      <c r="Q313" s="338"/>
      <c r="R313" s="338"/>
      <c r="S313" s="338"/>
      <c r="T313" s="338"/>
      <c r="U313" s="338"/>
    </row>
    <row r="314" spans="2:21" ht="15">
      <c r="B314" s="516"/>
      <c r="C314" s="318"/>
      <c r="D314" s="1453"/>
      <c r="E314" s="1453"/>
      <c r="F314" s="1453"/>
      <c r="G314" s="1453"/>
      <c r="H314" s="1453"/>
      <c r="I314" s="1453"/>
      <c r="J314" s="1453"/>
      <c r="K314" s="525"/>
      <c r="L314" s="525"/>
      <c r="M314" s="318"/>
      <c r="N314" s="338"/>
      <c r="O314" s="338"/>
      <c r="P314" s="338"/>
      <c r="Q314" s="338"/>
      <c r="R314" s="338"/>
      <c r="S314" s="338"/>
      <c r="T314" s="338"/>
      <c r="U314" s="338"/>
    </row>
    <row r="315" spans="2:21" ht="15">
      <c r="B315" s="516"/>
      <c r="C315" s="318"/>
      <c r="D315" s="525"/>
      <c r="E315" s="525"/>
      <c r="F315" s="525"/>
      <c r="G315" s="525"/>
      <c r="H315" s="525"/>
      <c r="I315" s="525"/>
      <c r="J315" s="525"/>
      <c r="K315" s="525"/>
      <c r="L315" s="525"/>
      <c r="M315" s="318"/>
      <c r="N315" s="338"/>
      <c r="O315" s="338"/>
      <c r="P315" s="338"/>
      <c r="Q315" s="338"/>
      <c r="R315" s="338"/>
      <c r="S315" s="338"/>
      <c r="T315" s="338"/>
      <c r="U315" s="338"/>
    </row>
    <row r="316" spans="2:21" ht="15.75">
      <c r="B316" s="1103" t="s">
        <v>160</v>
      </c>
      <c r="C316" s="1104"/>
      <c r="D316" s="1454" t="s">
        <v>808</v>
      </c>
      <c r="E316" s="1455"/>
      <c r="F316" s="1455"/>
      <c r="G316" s="1455"/>
      <c r="H316" s="1455"/>
      <c r="I316" s="1455"/>
      <c r="J316" s="1455"/>
      <c r="K316" s="1455"/>
      <c r="L316" s="528"/>
      <c r="M316" s="318"/>
      <c r="N316" s="338"/>
      <c r="O316" s="338"/>
      <c r="P316" s="338"/>
      <c r="Q316" s="338"/>
      <c r="R316" s="338"/>
      <c r="S316" s="338"/>
      <c r="T316" s="338"/>
      <c r="U316" s="338"/>
    </row>
    <row r="317" spans="2:21" ht="15.75">
      <c r="B317" s="1070"/>
      <c r="C317" s="1104"/>
      <c r="D317" s="1455"/>
      <c r="E317" s="1455"/>
      <c r="F317" s="1455"/>
      <c r="G317" s="1455"/>
      <c r="H317" s="1455"/>
      <c r="I317" s="1455"/>
      <c r="J317" s="1455"/>
      <c r="K317" s="1455"/>
      <c r="L317" s="525"/>
      <c r="M317" s="318"/>
      <c r="N317" s="338"/>
      <c r="O317" s="338"/>
      <c r="P317" s="338"/>
      <c r="Q317" s="338"/>
      <c r="R317" s="338"/>
      <c r="S317" s="338"/>
      <c r="T317" s="338"/>
      <c r="U317" s="338"/>
    </row>
    <row r="318" spans="2:21" ht="15">
      <c r="B318" s="516"/>
      <c r="C318" s="318"/>
      <c r="D318" s="525"/>
      <c r="E318" s="525"/>
      <c r="F318" s="525"/>
      <c r="G318" s="525"/>
      <c r="H318" s="525"/>
      <c r="I318" s="525"/>
      <c r="J318" s="525"/>
      <c r="K318" s="525"/>
      <c r="L318" s="525"/>
      <c r="M318" s="318"/>
      <c r="N318" s="338"/>
      <c r="O318" s="338"/>
      <c r="P318" s="338"/>
      <c r="Q318" s="338"/>
      <c r="R318" s="338"/>
      <c r="S318" s="338"/>
      <c r="T318" s="338"/>
      <c r="U318" s="338"/>
    </row>
    <row r="319" spans="2:21" ht="15">
      <c r="B319" s="352" t="s">
        <v>161</v>
      </c>
      <c r="C319" s="353"/>
      <c r="D319" s="1476" t="s">
        <v>587</v>
      </c>
      <c r="E319" s="1476"/>
      <c r="F319" s="1476"/>
      <c r="G319" s="1476"/>
      <c r="H319" s="1476"/>
      <c r="I319" s="1476"/>
      <c r="J319" s="1476"/>
      <c r="K319" s="1476"/>
      <c r="L319" s="1476"/>
      <c r="M319" s="318"/>
      <c r="N319" s="338"/>
      <c r="O319" s="338"/>
      <c r="P319" s="338"/>
      <c r="Q319" s="338"/>
      <c r="R319" s="338"/>
      <c r="S319" s="338"/>
      <c r="T319" s="338"/>
      <c r="U319" s="338"/>
    </row>
    <row r="320" spans="2:21" ht="15">
      <c r="B320" s="352"/>
      <c r="C320" s="353"/>
      <c r="D320" s="1476"/>
      <c r="E320" s="1476"/>
      <c r="F320" s="1476"/>
      <c r="G320" s="1476"/>
      <c r="H320" s="1476"/>
      <c r="I320" s="1476"/>
      <c r="J320" s="1476"/>
      <c r="K320" s="1476"/>
      <c r="L320" s="1476"/>
      <c r="M320" s="318"/>
      <c r="N320" s="338"/>
      <c r="O320" s="338"/>
      <c r="P320" s="338"/>
      <c r="Q320" s="338"/>
      <c r="R320" s="338"/>
      <c r="S320" s="338"/>
      <c r="T320" s="338"/>
      <c r="U320" s="338"/>
    </row>
    <row r="321" spans="2:21" ht="15">
      <c r="B321" s="352"/>
      <c r="C321" s="353"/>
      <c r="D321" s="1476"/>
      <c r="E321" s="1476"/>
      <c r="F321" s="1476"/>
      <c r="G321" s="1476"/>
      <c r="H321" s="1476"/>
      <c r="I321" s="1476"/>
      <c r="J321" s="1476"/>
      <c r="K321" s="1476"/>
      <c r="L321" s="1476"/>
      <c r="M321" s="318"/>
      <c r="N321" s="338"/>
      <c r="O321" s="338"/>
      <c r="P321" s="338"/>
      <c r="Q321" s="338"/>
      <c r="R321" s="338"/>
      <c r="S321" s="338"/>
      <c r="T321" s="338"/>
      <c r="U321" s="338"/>
    </row>
    <row r="322" spans="2:21" ht="15">
      <c r="B322" s="352"/>
      <c r="C322" s="353"/>
      <c r="D322" s="1476"/>
      <c r="E322" s="1476"/>
      <c r="F322" s="1476"/>
      <c r="G322" s="1476"/>
      <c r="H322" s="1476"/>
      <c r="I322" s="1476"/>
      <c r="J322" s="1476"/>
      <c r="K322" s="1476"/>
      <c r="L322" s="1476"/>
      <c r="M322" s="318"/>
      <c r="N322" s="338"/>
      <c r="O322" s="338"/>
      <c r="P322" s="338"/>
      <c r="Q322" s="338"/>
      <c r="R322" s="338"/>
      <c r="S322" s="338"/>
      <c r="T322" s="338"/>
      <c r="U322" s="338"/>
    </row>
    <row r="323" spans="2:21" ht="15">
      <c r="B323" s="352"/>
      <c r="C323" s="353"/>
      <c r="D323" s="525"/>
      <c r="E323" s="524"/>
      <c r="F323" s="524"/>
      <c r="G323" s="524"/>
      <c r="H323" s="524"/>
      <c r="I323" s="524"/>
      <c r="J323" s="524"/>
      <c r="K323" s="524"/>
      <c r="L323" s="524"/>
      <c r="M323" s="318"/>
      <c r="N323" s="338"/>
      <c r="O323" s="338"/>
      <c r="P323" s="338"/>
      <c r="Q323" s="338"/>
      <c r="R323" s="338"/>
      <c r="S323" s="338"/>
      <c r="T323" s="338"/>
      <c r="U323" s="338"/>
    </row>
    <row r="324" spans="2:21" ht="15" customHeight="1">
      <c r="B324" s="352" t="s">
        <v>162</v>
      </c>
      <c r="C324" s="353"/>
      <c r="D324" s="1457" t="s">
        <v>805</v>
      </c>
      <c r="E324" s="1458"/>
      <c r="F324" s="1458"/>
      <c r="G324" s="1458"/>
      <c r="H324" s="1458"/>
      <c r="I324" s="1458"/>
      <c r="J324" s="1458"/>
      <c r="K324" s="1458"/>
      <c r="L324" s="1459"/>
      <c r="M324" s="318"/>
      <c r="N324" s="338"/>
      <c r="O324" s="338"/>
      <c r="P324" s="338"/>
      <c r="Q324" s="338"/>
      <c r="R324" s="338"/>
      <c r="S324" s="338"/>
      <c r="T324" s="338"/>
      <c r="U324" s="338"/>
    </row>
    <row r="325" spans="2:21" ht="15">
      <c r="B325" s="352"/>
      <c r="C325" s="353"/>
      <c r="D325" s="1458"/>
      <c r="E325" s="1458"/>
      <c r="F325" s="1458"/>
      <c r="G325" s="1458"/>
      <c r="H325" s="1458"/>
      <c r="I325" s="1458"/>
      <c r="J325" s="1458"/>
      <c r="K325" s="1458"/>
      <c r="L325" s="1459"/>
      <c r="M325" s="318"/>
      <c r="N325" s="338"/>
      <c r="O325" s="338"/>
      <c r="P325" s="338"/>
      <c r="Q325" s="338"/>
      <c r="R325" s="338"/>
      <c r="S325" s="338"/>
      <c r="T325" s="338"/>
      <c r="U325" s="338"/>
    </row>
    <row r="326" spans="2:21" ht="15">
      <c r="B326" s="352"/>
      <c r="C326" s="353"/>
      <c r="D326" s="1459"/>
      <c r="E326" s="1459"/>
      <c r="F326" s="1459"/>
      <c r="G326" s="1459"/>
      <c r="H326" s="1459"/>
      <c r="I326" s="1459"/>
      <c r="J326" s="1459"/>
      <c r="K326" s="1459"/>
      <c r="L326" s="1459"/>
      <c r="M326" s="318"/>
      <c r="N326" s="338"/>
      <c r="O326" s="338"/>
      <c r="P326" s="338"/>
      <c r="Q326" s="338"/>
      <c r="R326" s="338"/>
      <c r="S326" s="338"/>
      <c r="T326" s="338"/>
      <c r="U326" s="338"/>
    </row>
    <row r="327" spans="2:21" ht="15">
      <c r="B327" s="352"/>
      <c r="C327" s="353"/>
      <c r="D327" s="467"/>
      <c r="E327" s="338"/>
      <c r="F327" s="338"/>
      <c r="G327" s="338"/>
      <c r="H327" s="338"/>
      <c r="I327" s="338"/>
      <c r="J327" s="338"/>
      <c r="K327" s="338"/>
      <c r="L327" s="338"/>
      <c r="M327" s="318"/>
      <c r="N327" s="338"/>
      <c r="O327" s="338"/>
      <c r="P327" s="338"/>
      <c r="Q327" s="338"/>
      <c r="R327" s="338"/>
      <c r="S327" s="338"/>
      <c r="T327" s="338"/>
      <c r="U327" s="338"/>
    </row>
    <row r="328" spans="2:21" ht="15">
      <c r="B328" s="422" t="s">
        <v>247</v>
      </c>
      <c r="C328" s="353"/>
      <c r="D328" s="364" t="s">
        <v>357</v>
      </c>
      <c r="E328" s="321"/>
      <c r="F328" s="321"/>
      <c r="G328" s="321"/>
      <c r="H328" s="321"/>
      <c r="I328" s="321"/>
      <c r="J328" s="321"/>
      <c r="K328" s="318"/>
      <c r="L328" s="318"/>
      <c r="M328" s="318"/>
      <c r="N328" s="338"/>
      <c r="O328" s="338"/>
      <c r="P328" s="338"/>
      <c r="Q328" s="338"/>
      <c r="R328" s="338"/>
      <c r="S328" s="338"/>
      <c r="T328" s="338"/>
      <c r="U328" s="338"/>
    </row>
    <row r="329" spans="2:21" ht="15">
      <c r="B329" s="422"/>
      <c r="C329" s="353"/>
      <c r="D329" s="321"/>
      <c r="E329" s="321"/>
      <c r="F329" s="321"/>
      <c r="G329" s="321"/>
      <c r="H329" s="321"/>
      <c r="I329" s="321"/>
      <c r="J329" s="321"/>
      <c r="K329" s="318"/>
      <c r="L329" s="318"/>
      <c r="M329" s="318"/>
      <c r="N329" s="338"/>
      <c r="O329" s="338"/>
      <c r="P329" s="338"/>
      <c r="Q329" s="338"/>
      <c r="R329" s="338"/>
      <c r="S329" s="338"/>
      <c r="T329" s="338"/>
      <c r="U329" s="338"/>
    </row>
    <row r="330" spans="2:21" ht="15">
      <c r="B330" s="352" t="s">
        <v>306</v>
      </c>
      <c r="C330" s="353"/>
      <c r="D330" s="364" t="s">
        <v>346</v>
      </c>
      <c r="E330" s="318"/>
      <c r="F330" s="318"/>
      <c r="G330" s="318"/>
      <c r="H330" s="318"/>
      <c r="I330" s="318"/>
      <c r="J330" s="318"/>
      <c r="K330" s="318"/>
      <c r="L330" s="318"/>
      <c r="M330" s="318"/>
      <c r="N330" s="338"/>
      <c r="O330" s="338"/>
      <c r="P330" s="338"/>
      <c r="Q330" s="338"/>
      <c r="R330" s="338"/>
      <c r="S330" s="338"/>
      <c r="T330" s="338"/>
      <c r="U330" s="338"/>
    </row>
    <row r="331" spans="2:21" ht="15">
      <c r="B331" s="422"/>
      <c r="C331" s="353"/>
      <c r="D331" s="364" t="s">
        <v>235</v>
      </c>
      <c r="E331" s="318"/>
      <c r="F331" s="318"/>
      <c r="G331" s="318"/>
      <c r="H331" s="318"/>
      <c r="I331" s="318"/>
      <c r="J331" s="318"/>
      <c r="K331" s="318"/>
      <c r="L331" s="318"/>
      <c r="M331" s="318"/>
      <c r="N331" s="338"/>
      <c r="O331" s="338"/>
      <c r="P331" s="338"/>
      <c r="Q331" s="338"/>
      <c r="R331" s="338"/>
      <c r="S331" s="338"/>
      <c r="T331" s="338"/>
      <c r="U331" s="338"/>
    </row>
    <row r="332" spans="2:21" ht="15">
      <c r="B332" s="422"/>
      <c r="C332" s="353"/>
      <c r="D332" s="364" t="s">
        <v>236</v>
      </c>
      <c r="E332" s="318"/>
      <c r="F332" s="318"/>
      <c r="G332" s="318"/>
      <c r="H332" s="318"/>
      <c r="I332" s="318"/>
      <c r="J332" s="318"/>
      <c r="K332" s="318"/>
      <c r="L332" s="318"/>
      <c r="M332" s="318"/>
      <c r="N332" s="338"/>
      <c r="O332" s="338"/>
      <c r="P332" s="338"/>
      <c r="Q332" s="338"/>
      <c r="R332" s="338"/>
      <c r="S332" s="338"/>
      <c r="T332" s="338"/>
      <c r="U332" s="338"/>
    </row>
    <row r="333" spans="2:21" ht="15">
      <c r="B333" s="422"/>
      <c r="C333" s="353"/>
      <c r="D333" s="364" t="s">
        <v>237</v>
      </c>
      <c r="E333" s="318"/>
      <c r="F333" s="318"/>
      <c r="G333" s="318"/>
      <c r="H333" s="318"/>
      <c r="I333" s="318"/>
      <c r="J333" s="318"/>
      <c r="K333" s="318"/>
      <c r="L333" s="318"/>
      <c r="M333" s="318"/>
      <c r="N333" s="338"/>
      <c r="O333" s="338"/>
      <c r="P333" s="338"/>
      <c r="Q333" s="338"/>
      <c r="R333" s="338"/>
      <c r="S333" s="338"/>
      <c r="T333" s="338"/>
      <c r="U333" s="338"/>
    </row>
    <row r="334" spans="2:21" ht="15">
      <c r="B334" s="352"/>
      <c r="C334" s="353"/>
      <c r="D334" s="364" t="str">
        <f>"(ln "&amp;B192&amp;") multiplied by (1/1-T) .  If the applicable tax rates are zero enter 0."</f>
        <v>(ln 118) multiplied by (1/1-T) .  If the applicable tax rates are zero enter 0.</v>
      </c>
      <c r="H334" s="318"/>
      <c r="I334" s="318"/>
      <c r="J334" s="318"/>
      <c r="K334" s="318"/>
      <c r="L334" s="318"/>
      <c r="M334" s="318"/>
      <c r="N334" s="338"/>
      <c r="O334" s="338"/>
      <c r="P334" s="338"/>
      <c r="Q334" s="338"/>
      <c r="R334" s="338"/>
      <c r="S334" s="338"/>
      <c r="T334" s="338"/>
      <c r="U334" s="338"/>
    </row>
    <row r="335" spans="2:21" ht="15">
      <c r="B335" s="529"/>
      <c r="C335" s="338"/>
      <c r="D335" s="364" t="s">
        <v>347</v>
      </c>
      <c r="E335" s="338" t="s">
        <v>348</v>
      </c>
      <c r="F335" s="834">
        <v>0.35</v>
      </c>
      <c r="G335" s="338"/>
      <c r="H335" s="318"/>
      <c r="I335" s="318"/>
      <c r="J335" s="318"/>
      <c r="K335" s="318"/>
      <c r="L335" s="318"/>
      <c r="M335" s="318"/>
      <c r="N335" s="338"/>
      <c r="O335" s="338"/>
      <c r="P335" s="338"/>
      <c r="Q335" s="338"/>
      <c r="R335" s="338"/>
      <c r="S335" s="338"/>
      <c r="T335" s="338"/>
      <c r="U335" s="338"/>
    </row>
    <row r="336" spans="2:21" ht="15">
      <c r="B336" s="529"/>
      <c r="C336" s="338"/>
      <c r="D336" s="364"/>
      <c r="E336" s="338" t="s">
        <v>349</v>
      </c>
      <c r="F336" s="518">
        <f>+'WS G  State Tax Rate'!F32</f>
        <v>0.058</v>
      </c>
      <c r="G336" s="338" t="s">
        <v>507</v>
      </c>
      <c r="H336" s="318"/>
      <c r="I336" s="318"/>
      <c r="J336" s="318"/>
      <c r="K336" s="318"/>
      <c r="L336" s="318"/>
      <c r="M336" s="318"/>
      <c r="N336" s="338"/>
      <c r="O336" s="338"/>
      <c r="P336" s="338"/>
      <c r="Q336" s="338"/>
      <c r="R336" s="338"/>
      <c r="S336" s="338"/>
      <c r="T336" s="338"/>
      <c r="U336" s="338"/>
    </row>
    <row r="337" spans="2:21" ht="15">
      <c r="B337" s="529"/>
      <c r="C337" s="338"/>
      <c r="D337" s="364"/>
      <c r="E337" s="338" t="s">
        <v>350</v>
      </c>
      <c r="F337" s="834">
        <v>0</v>
      </c>
      <c r="G337" s="338" t="s">
        <v>351</v>
      </c>
      <c r="H337" s="318"/>
      <c r="I337" s="318"/>
      <c r="J337" s="318"/>
      <c r="K337" s="318"/>
      <c r="L337" s="318"/>
      <c r="M337" s="318"/>
      <c r="N337" s="338"/>
      <c r="O337" s="338"/>
      <c r="P337" s="338"/>
      <c r="Q337" s="338"/>
      <c r="R337" s="338"/>
      <c r="S337" s="338"/>
      <c r="T337" s="338"/>
      <c r="U337" s="338"/>
    </row>
    <row r="338" spans="2:21" ht="15">
      <c r="B338" s="422"/>
      <c r="C338" s="353"/>
      <c r="D338" s="364" t="s">
        <v>598</v>
      </c>
      <c r="E338" s="318"/>
      <c r="F338" s="318"/>
      <c r="G338" s="318"/>
      <c r="H338" s="318"/>
      <c r="I338" s="318"/>
      <c r="J338" s="318"/>
      <c r="K338" s="318"/>
      <c r="L338" s="318"/>
      <c r="M338" s="338"/>
      <c r="N338" s="338"/>
      <c r="O338" s="338"/>
      <c r="P338" s="338"/>
      <c r="Q338" s="338"/>
      <c r="R338" s="338"/>
      <c r="S338" s="338"/>
      <c r="T338" s="338"/>
      <c r="U338" s="338"/>
    </row>
    <row r="339" spans="2:21" ht="15">
      <c r="B339" s="422"/>
      <c r="C339" s="353"/>
      <c r="D339" s="364" t="s">
        <v>599</v>
      </c>
      <c r="E339" s="318"/>
      <c r="F339" s="318"/>
      <c r="G339" s="318"/>
      <c r="H339" s="318"/>
      <c r="I339" s="318"/>
      <c r="J339" s="318"/>
      <c r="K339" s="318"/>
      <c r="L339" s="318"/>
      <c r="M339" s="338"/>
      <c r="N339" s="338"/>
      <c r="O339" s="338"/>
      <c r="P339" s="338"/>
      <c r="Q339" s="338"/>
      <c r="R339" s="338"/>
      <c r="S339" s="338"/>
      <c r="T339" s="338"/>
      <c r="U339" s="338"/>
    </row>
    <row r="340" spans="2:21" ht="15">
      <c r="B340" s="352" t="s">
        <v>352</v>
      </c>
      <c r="C340" s="353"/>
      <c r="D340" s="364" t="s">
        <v>226</v>
      </c>
      <c r="E340" s="318"/>
      <c r="F340" s="318"/>
      <c r="G340" s="318"/>
      <c r="H340" s="318"/>
      <c r="I340" s="318"/>
      <c r="J340" s="318"/>
      <c r="K340" s="318"/>
      <c r="L340" s="318"/>
      <c r="M340" s="318"/>
      <c r="N340" s="338"/>
      <c r="O340" s="338"/>
      <c r="P340" s="338"/>
      <c r="Q340" s="338"/>
      <c r="R340" s="338"/>
      <c r="S340" s="338"/>
      <c r="T340" s="338"/>
      <c r="U340" s="338"/>
    </row>
    <row r="341" spans="2:21" ht="15">
      <c r="B341" s="313"/>
      <c r="D341" s="364"/>
      <c r="E341" s="318"/>
      <c r="F341" s="318"/>
      <c r="G341" s="318"/>
      <c r="H341" s="318"/>
      <c r="I341" s="318"/>
      <c r="J341" s="318"/>
      <c r="K341" s="318"/>
      <c r="L341" s="318"/>
      <c r="M341" s="318"/>
      <c r="N341" s="338"/>
      <c r="O341" s="338"/>
      <c r="P341" s="338"/>
      <c r="Q341" s="338"/>
      <c r="R341" s="338"/>
      <c r="S341" s="338"/>
      <c r="T341" s="338"/>
      <c r="U341" s="338"/>
    </row>
    <row r="342" spans="2:21" ht="15">
      <c r="B342" s="352" t="s">
        <v>353</v>
      </c>
      <c r="C342" s="353"/>
      <c r="D342" s="364" t="s">
        <v>22</v>
      </c>
      <c r="E342" s="318"/>
      <c r="F342" s="318"/>
      <c r="G342" s="318"/>
      <c r="H342" s="318"/>
      <c r="I342" s="318"/>
      <c r="J342" s="318"/>
      <c r="K342" s="318"/>
      <c r="L342" s="318"/>
      <c r="M342" s="318"/>
      <c r="N342" s="338"/>
      <c r="O342" s="338"/>
      <c r="P342" s="338"/>
      <c r="Q342" s="338"/>
      <c r="R342" s="338"/>
      <c r="S342" s="338"/>
      <c r="T342" s="338"/>
      <c r="U342" s="338"/>
    </row>
    <row r="343" spans="2:21" ht="15">
      <c r="B343" s="352"/>
      <c r="C343" s="353"/>
      <c r="D343" s="364"/>
      <c r="E343" s="338"/>
      <c r="F343" s="338"/>
      <c r="G343" s="338"/>
      <c r="H343" s="338"/>
      <c r="I343" s="338"/>
      <c r="J343" s="338"/>
      <c r="K343" s="338"/>
      <c r="L343" s="338"/>
      <c r="M343" s="338"/>
      <c r="N343" s="338"/>
      <c r="O343" s="338"/>
      <c r="P343" s="338"/>
      <c r="Q343" s="338"/>
      <c r="R343" s="338"/>
      <c r="S343" s="338"/>
      <c r="T343" s="338"/>
      <c r="U343" s="338"/>
    </row>
    <row r="344" spans="2:21" ht="15">
      <c r="B344" s="352" t="s">
        <v>354</v>
      </c>
      <c r="C344" s="353"/>
      <c r="D344" s="364" t="s">
        <v>417</v>
      </c>
      <c r="E344" s="338"/>
      <c r="F344" s="338"/>
      <c r="G344" s="338"/>
      <c r="H344" s="338"/>
      <c r="I344" s="338"/>
      <c r="J344" s="338"/>
      <c r="K344" s="338"/>
      <c r="L344" s="338"/>
      <c r="M344" s="338"/>
      <c r="N344" s="338"/>
      <c r="O344" s="338"/>
      <c r="P344" s="338"/>
      <c r="Q344" s="338"/>
      <c r="R344" s="338"/>
      <c r="S344" s="338"/>
      <c r="T344" s="338"/>
      <c r="U344" s="338"/>
    </row>
    <row r="345" spans="2:21" ht="15">
      <c r="B345" s="352"/>
      <c r="C345" s="353"/>
      <c r="D345" s="364"/>
      <c r="E345" s="338"/>
      <c r="F345" s="338"/>
      <c r="G345" s="338"/>
      <c r="H345" s="338"/>
      <c r="I345" s="338"/>
      <c r="J345" s="338"/>
      <c r="K345" s="338"/>
      <c r="L345" s="338"/>
      <c r="M345" s="338"/>
      <c r="N345" s="338"/>
      <c r="O345" s="338"/>
      <c r="P345" s="338"/>
      <c r="Q345" s="338"/>
      <c r="R345" s="338"/>
      <c r="S345" s="338"/>
      <c r="T345" s="338"/>
      <c r="U345" s="338"/>
    </row>
    <row r="346" spans="2:21" ht="15">
      <c r="B346" s="516" t="s">
        <v>355</v>
      </c>
      <c r="C346" s="423"/>
      <c r="D346" s="364" t="str">
        <f>"Long Term Debt cost rate = Long-Term Interest (ln "&amp;B243&amp;") /  Long-Term Debt (ln "&amp;B253&amp;").  Preferred Stock cost rate = preferred dividends (ln "&amp;B244&amp;") / preferred outstanding (ln "&amp;B254&amp;")."</f>
        <v>Long Term Debt cost rate = Long-Term Interest (ln 145) /  Long-Term Debt (ln 154).  Preferred Stock cost rate = preferred dividends (ln 146) / preferred outstanding (ln 155).</v>
      </c>
      <c r="M346" s="338"/>
      <c r="N346" s="338"/>
      <c r="O346" s="338"/>
      <c r="P346" s="338"/>
      <c r="Q346" s="338"/>
      <c r="R346" s="338"/>
      <c r="S346" s="338"/>
      <c r="T346" s="338"/>
      <c r="U346" s="338"/>
    </row>
    <row r="347" spans="2:21" ht="15">
      <c r="B347" s="517"/>
      <c r="C347" s="318"/>
      <c r="D347" s="364" t="str">
        <f>"Common Stock cost rate (ROE) = "&amp;J255*100&amp;"%, the rate accepted by FERC in Docket No. ER08-1329.  It includes an additional 50 basis points for PJM RTO Membership."</f>
        <v>Common Stock cost rate (ROE) = 11.49%, the rate accepted by FERC in Docket No. ER08-1329.  It includes an additional 50 basis points for PJM RTO Membership.</v>
      </c>
      <c r="M347" s="338"/>
      <c r="N347" s="338"/>
      <c r="O347" s="338"/>
      <c r="P347" s="338"/>
      <c r="Q347" s="338"/>
      <c r="R347" s="338"/>
      <c r="S347" s="338"/>
      <c r="T347" s="338"/>
      <c r="U347" s="338"/>
    </row>
    <row r="348" spans="2:21" ht="15" customHeight="1">
      <c r="B348" s="517"/>
      <c r="C348" s="318"/>
      <c r="D348" s="1477" t="s">
        <v>588</v>
      </c>
      <c r="E348" s="1477"/>
      <c r="F348" s="1477"/>
      <c r="G348" s="1477"/>
      <c r="H348" s="1477"/>
      <c r="I348" s="1477"/>
      <c r="J348" s="1477"/>
      <c r="K348" s="1477"/>
      <c r="L348" s="1477"/>
      <c r="M348" s="338"/>
      <c r="N348" s="338"/>
      <c r="O348" s="338"/>
      <c r="P348" s="338"/>
      <c r="Q348" s="338"/>
      <c r="R348" s="338"/>
      <c r="S348" s="338"/>
      <c r="T348" s="338"/>
      <c r="U348" s="338"/>
    </row>
    <row r="349" spans="2:21" ht="15">
      <c r="B349" s="517"/>
      <c r="C349" s="318"/>
      <c r="D349" s="1477"/>
      <c r="E349" s="1477"/>
      <c r="F349" s="1477"/>
      <c r="G349" s="1477"/>
      <c r="H349" s="1477"/>
      <c r="I349" s="1477"/>
      <c r="J349" s="1477"/>
      <c r="K349" s="1477"/>
      <c r="L349" s="1477"/>
      <c r="M349" s="338"/>
      <c r="N349" s="338"/>
      <c r="O349" s="338"/>
      <c r="P349" s="338"/>
      <c r="Q349" s="338"/>
      <c r="R349" s="338"/>
      <c r="S349" s="338"/>
      <c r="T349" s="338"/>
      <c r="U349" s="338"/>
    </row>
    <row r="350" spans="2:21" ht="14.25" customHeight="1">
      <c r="B350" s="517"/>
      <c r="C350" s="318"/>
      <c r="D350" s="1477"/>
      <c r="E350" s="1477"/>
      <c r="F350" s="1477"/>
      <c r="G350" s="1477"/>
      <c r="H350" s="1477"/>
      <c r="I350" s="1477"/>
      <c r="J350" s="1477"/>
      <c r="K350" s="1477"/>
      <c r="L350" s="1477"/>
      <c r="M350" s="338"/>
      <c r="N350" s="338"/>
      <c r="O350" s="338"/>
      <c r="P350" s="338"/>
      <c r="Q350" s="338"/>
      <c r="R350" s="338"/>
      <c r="S350" s="338"/>
      <c r="T350" s="338"/>
      <c r="U350" s="338"/>
    </row>
    <row r="351" spans="2:21" ht="15" customHeight="1" hidden="1">
      <c r="B351" s="517"/>
      <c r="C351" s="318"/>
      <c r="D351" s="1477"/>
      <c r="E351" s="1477"/>
      <c r="F351" s="1477"/>
      <c r="G351" s="1477"/>
      <c r="H351" s="1477"/>
      <c r="I351" s="1477"/>
      <c r="J351" s="1477"/>
      <c r="K351" s="1477"/>
      <c r="L351" s="1477"/>
      <c r="M351" s="338"/>
      <c r="N351" s="338"/>
      <c r="O351" s="338"/>
      <c r="P351" s="338"/>
      <c r="Q351" s="338"/>
      <c r="R351" s="338"/>
      <c r="S351" s="338"/>
      <c r="T351" s="338"/>
      <c r="U351" s="338"/>
    </row>
    <row r="352" spans="2:21" ht="15" customHeight="1" hidden="1">
      <c r="B352" s="517"/>
      <c r="C352" s="318"/>
      <c r="D352" s="1477"/>
      <c r="E352" s="1477"/>
      <c r="F352" s="1477"/>
      <c r="G352" s="1477"/>
      <c r="H352" s="1477"/>
      <c r="I352" s="1477"/>
      <c r="J352" s="1477"/>
      <c r="K352" s="1477"/>
      <c r="L352" s="1477"/>
      <c r="M352" s="338"/>
      <c r="N352" s="338"/>
      <c r="O352" s="338"/>
      <c r="P352" s="338"/>
      <c r="Q352" s="338"/>
      <c r="R352" s="338"/>
      <c r="S352" s="338"/>
      <c r="T352" s="338"/>
      <c r="U352" s="338"/>
    </row>
    <row r="353" spans="2:21" ht="15" customHeight="1" hidden="1">
      <c r="B353" s="517"/>
      <c r="C353" s="318"/>
      <c r="D353" s="1477"/>
      <c r="E353" s="1477"/>
      <c r="F353" s="1477"/>
      <c r="G353" s="1477"/>
      <c r="H353" s="1477"/>
      <c r="I353" s="1477"/>
      <c r="J353" s="1477"/>
      <c r="K353" s="1477"/>
      <c r="L353" s="1477"/>
      <c r="M353" s="338"/>
      <c r="N353" s="338"/>
      <c r="O353" s="338"/>
      <c r="P353" s="338"/>
      <c r="Q353" s="338"/>
      <c r="R353" s="338"/>
      <c r="S353" s="338"/>
      <c r="T353" s="338"/>
      <c r="U353" s="338"/>
    </row>
    <row r="354" spans="2:21" s="318" customFormat="1" ht="15">
      <c r="B354" s="352" t="s">
        <v>428</v>
      </c>
      <c r="C354" s="353"/>
      <c r="D354" s="525" t="s">
        <v>35</v>
      </c>
      <c r="E354" s="525"/>
      <c r="F354" s="525"/>
      <c r="G354" s="525"/>
      <c r="H354" s="525"/>
      <c r="I354" s="525"/>
      <c r="J354" s="525"/>
      <c r="M354" s="338"/>
      <c r="N354" s="338"/>
      <c r="O354" s="338"/>
      <c r="P354" s="338"/>
      <c r="Q354" s="338"/>
      <c r="R354" s="338"/>
      <c r="S354" s="338"/>
      <c r="T354" s="338"/>
      <c r="U354" s="338"/>
    </row>
    <row r="355" spans="2:21" s="318" customFormat="1" ht="15">
      <c r="B355" s="352"/>
      <c r="C355" s="353"/>
      <c r="D355" s="525" t="str">
        <f>"This total balance of $265,249,280 at 12/31/12 is not included in the balance in line "&amp;B253&amp;" above."</f>
        <v>This total balance of $265,249,280 at 12/31/12 is not included in the balance in line 154 above.</v>
      </c>
      <c r="E355" s="525"/>
      <c r="F355" s="525"/>
      <c r="G355" s="525"/>
      <c r="H355" s="525"/>
      <c r="I355" s="525"/>
      <c r="J355" s="525"/>
      <c r="M355" s="338"/>
      <c r="N355" s="338"/>
      <c r="O355" s="338"/>
      <c r="P355" s="338"/>
      <c r="Q355" s="338"/>
      <c r="R355" s="338"/>
      <c r="S355" s="338"/>
      <c r="T355" s="338"/>
      <c r="U355" s="338"/>
    </row>
    <row r="356" spans="2:21" s="318" customFormat="1" ht="15">
      <c r="B356" s="352"/>
      <c r="C356" s="353"/>
      <c r="D356" s="1463" t="s">
        <v>589</v>
      </c>
      <c r="E356" s="1463"/>
      <c r="F356" s="1463"/>
      <c r="G356" s="1463"/>
      <c r="H356" s="1463"/>
      <c r="I356" s="1463"/>
      <c r="J356" s="1463"/>
      <c r="K356" s="1463"/>
      <c r="L356" s="1463"/>
      <c r="M356" s="338"/>
      <c r="N356" s="338"/>
      <c r="O356" s="338"/>
      <c r="P356" s="338"/>
      <c r="Q356" s="338"/>
      <c r="R356" s="338"/>
      <c r="S356" s="338"/>
      <c r="T356" s="338"/>
      <c r="U356" s="338"/>
    </row>
    <row r="357" spans="2:21" s="318" customFormat="1" ht="15">
      <c r="B357" s="352"/>
      <c r="C357" s="353"/>
      <c r="D357" s="1463"/>
      <c r="E357" s="1463"/>
      <c r="F357" s="1463"/>
      <c r="G357" s="1463"/>
      <c r="H357" s="1463"/>
      <c r="I357" s="1463"/>
      <c r="J357" s="1463"/>
      <c r="K357" s="1463"/>
      <c r="L357" s="1463"/>
      <c r="M357" s="338"/>
      <c r="N357" s="338"/>
      <c r="O357" s="338"/>
      <c r="P357" s="338"/>
      <c r="Q357" s="338"/>
      <c r="R357" s="338"/>
      <c r="S357" s="338"/>
      <c r="T357" s="338"/>
      <c r="U357" s="338"/>
    </row>
    <row r="358" spans="2:21" s="318" customFormat="1" ht="33" customHeight="1">
      <c r="B358" s="352"/>
      <c r="C358" s="353"/>
      <c r="D358" s="1463"/>
      <c r="E358" s="1463"/>
      <c r="F358" s="1463"/>
      <c r="G358" s="1463"/>
      <c r="H358" s="1463"/>
      <c r="I358" s="1463"/>
      <c r="J358" s="1463"/>
      <c r="K358" s="1463"/>
      <c r="L358" s="1463"/>
      <c r="M358" s="338"/>
      <c r="N358" s="338"/>
      <c r="O358" s="338"/>
      <c r="P358" s="338"/>
      <c r="Q358" s="338"/>
      <c r="R358" s="338"/>
      <c r="S358" s="338"/>
      <c r="T358" s="338"/>
      <c r="U358" s="338"/>
    </row>
    <row r="359" spans="2:21" ht="15">
      <c r="B359" s="352" t="s">
        <v>496</v>
      </c>
      <c r="C359" s="530"/>
      <c r="D359" s="1463" t="s">
        <v>749</v>
      </c>
      <c r="E359" s="1463"/>
      <c r="F359" s="1463"/>
      <c r="G359" s="1463"/>
      <c r="H359" s="1463"/>
      <c r="I359" s="1463"/>
      <c r="J359" s="1463"/>
      <c r="K359" s="1463"/>
      <c r="L359" s="1463"/>
      <c r="M359" s="338"/>
      <c r="N359" s="338"/>
      <c r="O359" s="338"/>
      <c r="P359" s="338"/>
      <c r="Q359" s="338"/>
      <c r="R359" s="338"/>
      <c r="S359" s="338"/>
      <c r="T359" s="338"/>
      <c r="U359" s="338"/>
    </row>
    <row r="360" spans="2:21" ht="64.5" customHeight="1">
      <c r="B360" s="352"/>
      <c r="C360" s="353"/>
      <c r="D360" s="1463"/>
      <c r="E360" s="1463"/>
      <c r="F360" s="1463"/>
      <c r="G360" s="1463"/>
      <c r="H360" s="1463"/>
      <c r="I360" s="1463"/>
      <c r="J360" s="1463"/>
      <c r="K360" s="1463"/>
      <c r="L360" s="1463"/>
      <c r="M360" s="338"/>
      <c r="N360" s="338"/>
      <c r="O360" s="338"/>
      <c r="P360" s="338"/>
      <c r="Q360" s="338"/>
      <c r="R360" s="338"/>
      <c r="S360" s="338"/>
      <c r="T360" s="338"/>
      <c r="U360" s="338"/>
    </row>
    <row r="361" spans="2:21" ht="15">
      <c r="B361" s="352" t="s">
        <v>591</v>
      </c>
      <c r="C361" s="353"/>
      <c r="D361" s="1464" t="s">
        <v>590</v>
      </c>
      <c r="E361" s="1464"/>
      <c r="F361" s="1464"/>
      <c r="G361" s="1464"/>
      <c r="H361" s="1464"/>
      <c r="I361" s="1464"/>
      <c r="J361" s="1464"/>
      <c r="K361" s="1464"/>
      <c r="L361" s="1464"/>
      <c r="M361" s="338"/>
      <c r="N361" s="338"/>
      <c r="O361" s="338"/>
      <c r="P361" s="338"/>
      <c r="Q361" s="338"/>
      <c r="R361" s="338"/>
      <c r="S361" s="338"/>
      <c r="T361" s="338"/>
      <c r="U361" s="338"/>
    </row>
    <row r="362" spans="2:21" ht="15">
      <c r="B362" s="352"/>
      <c r="C362" s="353"/>
      <c r="D362" s="1464"/>
      <c r="E362" s="1464"/>
      <c r="F362" s="1464"/>
      <c r="G362" s="1464"/>
      <c r="H362" s="1464"/>
      <c r="I362" s="1464"/>
      <c r="J362" s="1464"/>
      <c r="K362" s="1464"/>
      <c r="L362" s="1464"/>
      <c r="M362" s="338"/>
      <c r="N362" s="338"/>
      <c r="O362" s="338"/>
      <c r="P362" s="338"/>
      <c r="Q362" s="338"/>
      <c r="R362" s="338"/>
      <c r="S362" s="338"/>
      <c r="T362" s="338"/>
      <c r="U362" s="338"/>
    </row>
    <row r="363" spans="2:21" ht="15">
      <c r="B363" s="352" t="s">
        <v>593</v>
      </c>
      <c r="C363" s="353"/>
      <c r="D363" s="1465" t="s">
        <v>594</v>
      </c>
      <c r="E363" s="1465"/>
      <c r="F363" s="1465"/>
      <c r="G363" s="1465"/>
      <c r="H363" s="1465"/>
      <c r="I363" s="1465"/>
      <c r="J363" s="1465"/>
      <c r="K363" s="1465"/>
      <c r="L363" s="1465"/>
      <c r="M363" s="338"/>
      <c r="N363" s="338"/>
      <c r="O363" s="338"/>
      <c r="P363" s="338"/>
      <c r="Q363" s="338"/>
      <c r="R363" s="338"/>
      <c r="S363" s="338"/>
      <c r="T363" s="338"/>
      <c r="U363" s="338"/>
    </row>
    <row r="364" spans="2:21" ht="15">
      <c r="B364" s="352" t="s">
        <v>592</v>
      </c>
      <c r="C364" s="353"/>
      <c r="D364" s="1464" t="s">
        <v>595</v>
      </c>
      <c r="E364" s="1464"/>
      <c r="F364" s="1464"/>
      <c r="G364" s="1464"/>
      <c r="H364" s="1464"/>
      <c r="I364" s="1464"/>
      <c r="J364" s="1464"/>
      <c r="K364" s="1464"/>
      <c r="L364" s="1464"/>
      <c r="M364" s="338"/>
      <c r="N364" s="338"/>
      <c r="O364" s="338"/>
      <c r="P364" s="338"/>
      <c r="Q364" s="338"/>
      <c r="R364" s="338"/>
      <c r="S364" s="338"/>
      <c r="T364" s="338"/>
      <c r="U364" s="338"/>
    </row>
    <row r="365" spans="2:21" ht="15">
      <c r="B365" s="352"/>
      <c r="C365" s="353"/>
      <c r="D365" s="1464"/>
      <c r="E365" s="1464"/>
      <c r="F365" s="1464"/>
      <c r="G365" s="1464"/>
      <c r="H365" s="1464"/>
      <c r="I365" s="1464"/>
      <c r="J365" s="1464"/>
      <c r="K365" s="1464"/>
      <c r="L365" s="1464"/>
      <c r="M365" s="338"/>
      <c r="N365" s="338"/>
      <c r="O365" s="338"/>
      <c r="P365" s="338"/>
      <c r="Q365" s="338"/>
      <c r="R365" s="338"/>
      <c r="S365" s="338"/>
      <c r="T365" s="338"/>
      <c r="U365" s="338"/>
    </row>
    <row r="366" spans="2:21" ht="15">
      <c r="B366" s="330"/>
      <c r="C366" s="330"/>
      <c r="D366" s="1464"/>
      <c r="E366" s="1464"/>
      <c r="F366" s="1464"/>
      <c r="G366" s="1464"/>
      <c r="H366" s="1464"/>
      <c r="I366" s="1464"/>
      <c r="J366" s="1464"/>
      <c r="K366" s="1464"/>
      <c r="L366" s="1464"/>
      <c r="M366" s="338"/>
      <c r="N366" s="338"/>
      <c r="O366" s="338"/>
      <c r="P366" s="338"/>
      <c r="Q366" s="338"/>
      <c r="R366" s="338"/>
      <c r="S366" s="338"/>
      <c r="T366" s="338"/>
      <c r="U366" s="338"/>
    </row>
    <row r="367" spans="2:21" ht="18" customHeight="1">
      <c r="B367" s="1115" t="s">
        <v>621</v>
      </c>
      <c r="C367" s="1116"/>
      <c r="D367" s="519" t="s">
        <v>809</v>
      </c>
      <c r="E367" s="582"/>
      <c r="F367" s="582"/>
      <c r="G367" s="582"/>
      <c r="H367" s="330"/>
      <c r="M367" s="338"/>
      <c r="N367" s="338"/>
      <c r="O367" s="338"/>
      <c r="P367" s="338"/>
      <c r="Q367" s="338"/>
      <c r="R367" s="338"/>
      <c r="S367" s="338"/>
      <c r="T367" s="338"/>
      <c r="U367" s="338"/>
    </row>
    <row r="368" spans="2:21" ht="15">
      <c r="B368" s="330"/>
      <c r="C368" s="330"/>
      <c r="D368" s="330"/>
      <c r="E368" s="330"/>
      <c r="F368" s="330"/>
      <c r="G368" s="330"/>
      <c r="H368" s="330"/>
      <c r="M368" s="338"/>
      <c r="N368" s="338"/>
      <c r="O368" s="338"/>
      <c r="P368" s="338"/>
      <c r="Q368" s="338"/>
      <c r="R368" s="338"/>
      <c r="S368" s="338"/>
      <c r="T368" s="338"/>
      <c r="U368" s="338"/>
    </row>
    <row r="369" spans="2:21" ht="15">
      <c r="B369" s="330"/>
      <c r="C369" s="330"/>
      <c r="D369" s="1451"/>
      <c r="E369" s="1451"/>
      <c r="F369" s="1451"/>
      <c r="G369" s="1451"/>
      <c r="H369" s="1451"/>
      <c r="I369" s="1451"/>
      <c r="J369" s="1451"/>
      <c r="M369" s="338"/>
      <c r="N369" s="338"/>
      <c r="O369" s="338"/>
      <c r="P369" s="338"/>
      <c r="Q369" s="338"/>
      <c r="R369" s="338"/>
      <c r="S369" s="338"/>
      <c r="T369" s="338"/>
      <c r="U369" s="338"/>
    </row>
    <row r="370" spans="2:21" ht="15">
      <c r="B370" s="330"/>
      <c r="C370" s="330"/>
      <c r="D370" s="1451"/>
      <c r="E370" s="1451"/>
      <c r="F370" s="1451"/>
      <c r="G370" s="1451"/>
      <c r="H370" s="1451"/>
      <c r="I370" s="1451"/>
      <c r="J370" s="1451"/>
      <c r="M370" s="338"/>
      <c r="N370" s="338"/>
      <c r="O370" s="338"/>
      <c r="P370" s="338"/>
      <c r="Q370" s="338"/>
      <c r="R370" s="338"/>
      <c r="S370" s="338"/>
      <c r="T370" s="338"/>
      <c r="U370" s="338"/>
    </row>
    <row r="371" spans="2:21" ht="15">
      <c r="B371" s="330"/>
      <c r="C371" s="330"/>
      <c r="D371" s="330"/>
      <c r="E371" s="330"/>
      <c r="F371" s="330"/>
      <c r="G371" s="330"/>
      <c r="H371" s="330"/>
      <c r="M371" s="338"/>
      <c r="N371" s="338"/>
      <c r="O371" s="338"/>
      <c r="P371" s="338"/>
      <c r="Q371" s="338"/>
      <c r="R371" s="338"/>
      <c r="S371" s="338"/>
      <c r="T371" s="338"/>
      <c r="U371" s="338"/>
    </row>
    <row r="372" spans="2:21" ht="15">
      <c r="B372" s="330"/>
      <c r="C372" s="330"/>
      <c r="D372" s="330"/>
      <c r="E372" s="330"/>
      <c r="F372" s="330"/>
      <c r="G372" s="330"/>
      <c r="H372" s="330"/>
      <c r="M372" s="338"/>
      <c r="N372" s="338"/>
      <c r="O372" s="338"/>
      <c r="P372" s="338"/>
      <c r="Q372" s="338"/>
      <c r="R372" s="338"/>
      <c r="S372" s="338"/>
      <c r="T372" s="338"/>
      <c r="U372" s="338"/>
    </row>
    <row r="373" spans="2:21" ht="15">
      <c r="B373" s="330"/>
      <c r="C373" s="330"/>
      <c r="D373" s="330"/>
      <c r="E373" s="330"/>
      <c r="F373" s="330"/>
      <c r="G373" s="330"/>
      <c r="H373" s="330"/>
      <c r="M373" s="338"/>
      <c r="N373" s="338"/>
      <c r="O373" s="338"/>
      <c r="P373" s="338"/>
      <c r="Q373" s="338"/>
      <c r="R373" s="338"/>
      <c r="S373" s="338"/>
      <c r="T373" s="338"/>
      <c r="U373" s="338"/>
    </row>
    <row r="374" spans="2:21" ht="15">
      <c r="B374" s="330"/>
      <c r="C374" s="330"/>
      <c r="D374" s="330"/>
      <c r="E374" s="330"/>
      <c r="F374" s="330"/>
      <c r="G374" s="330"/>
      <c r="H374" s="330"/>
      <c r="M374" s="338"/>
      <c r="N374" s="338"/>
      <c r="O374" s="338"/>
      <c r="P374" s="338"/>
      <c r="Q374" s="338"/>
      <c r="R374" s="338"/>
      <c r="S374" s="338"/>
      <c r="T374" s="338"/>
      <c r="U374" s="338"/>
    </row>
    <row r="375" spans="2:21" ht="15">
      <c r="B375" s="330"/>
      <c r="C375" s="330"/>
      <c r="D375" s="330"/>
      <c r="E375" s="330"/>
      <c r="F375" s="330"/>
      <c r="G375" s="330"/>
      <c r="H375" s="330"/>
      <c r="M375" s="338"/>
      <c r="N375" s="338"/>
      <c r="O375" s="338"/>
      <c r="P375" s="338"/>
      <c r="Q375" s="338"/>
      <c r="R375" s="338"/>
      <c r="S375" s="338"/>
      <c r="T375" s="338"/>
      <c r="U375" s="338"/>
    </row>
    <row r="376" spans="2:21" ht="15">
      <c r="B376" s="352"/>
      <c r="C376" s="353"/>
      <c r="M376" s="338"/>
      <c r="N376" s="338"/>
      <c r="O376" s="338"/>
      <c r="P376" s="338"/>
      <c r="Q376" s="338"/>
      <c r="R376" s="338"/>
      <c r="S376" s="338"/>
      <c r="T376" s="338"/>
      <c r="U376" s="338"/>
    </row>
    <row r="377" spans="2:21" ht="15">
      <c r="B377" s="313"/>
      <c r="M377" s="338"/>
      <c r="N377" s="338"/>
      <c r="O377" s="338"/>
      <c r="P377" s="338"/>
      <c r="Q377" s="338"/>
      <c r="R377" s="338"/>
      <c r="S377" s="338"/>
      <c r="T377" s="338"/>
      <c r="U377" s="338"/>
    </row>
    <row r="378" spans="2:21" ht="15">
      <c r="B378" s="313"/>
      <c r="M378" s="338"/>
      <c r="N378" s="338"/>
      <c r="O378" s="338"/>
      <c r="P378" s="338"/>
      <c r="Q378" s="338"/>
      <c r="R378" s="338"/>
      <c r="S378" s="338"/>
      <c r="T378" s="338"/>
      <c r="U378" s="338"/>
    </row>
    <row r="379" spans="2:21" ht="15">
      <c r="B379" s="313"/>
      <c r="M379" s="338"/>
      <c r="N379" s="338"/>
      <c r="O379" s="338"/>
      <c r="P379" s="338"/>
      <c r="Q379" s="338"/>
      <c r="R379" s="338"/>
      <c r="S379" s="338"/>
      <c r="T379" s="338"/>
      <c r="U379" s="338"/>
    </row>
    <row r="380" spans="2:21" ht="15">
      <c r="B380" s="313"/>
      <c r="H380" s="338"/>
      <c r="I380" s="338"/>
      <c r="J380" s="338"/>
      <c r="K380" s="338"/>
      <c r="L380" s="338"/>
      <c r="M380" s="338"/>
      <c r="N380" s="338"/>
      <c r="O380" s="338"/>
      <c r="P380" s="338"/>
      <c r="Q380" s="338"/>
      <c r="R380" s="338"/>
      <c r="S380" s="338"/>
      <c r="T380" s="338"/>
      <c r="U380" s="338"/>
    </row>
    <row r="381" spans="2:21" ht="15">
      <c r="B381" s="313"/>
      <c r="H381" s="338"/>
      <c r="K381" s="338"/>
      <c r="L381" s="338"/>
      <c r="M381" s="338"/>
      <c r="N381" s="338"/>
      <c r="O381" s="338"/>
      <c r="P381" s="338"/>
      <c r="Q381" s="338"/>
      <c r="R381" s="338"/>
      <c r="S381" s="338"/>
      <c r="T381" s="338"/>
      <c r="U381" s="338"/>
    </row>
    <row r="382" spans="2:21" ht="15">
      <c r="B382" s="313"/>
      <c r="H382" s="338"/>
      <c r="I382" s="338" t="s">
        <v>116</v>
      </c>
      <c r="J382" s="532"/>
      <c r="K382" s="338"/>
      <c r="L382" s="338"/>
      <c r="M382" s="338"/>
      <c r="N382" s="338"/>
      <c r="O382" s="338"/>
      <c r="P382" s="338"/>
      <c r="Q382" s="338"/>
      <c r="R382" s="338"/>
      <c r="S382" s="338"/>
      <c r="T382" s="338"/>
      <c r="U382" s="338"/>
    </row>
    <row r="383" spans="2:21" ht="15">
      <c r="B383" s="313"/>
      <c r="H383" s="338"/>
      <c r="I383" s="353" t="s">
        <v>116</v>
      </c>
      <c r="J383" s="532" t="s">
        <v>116</v>
      </c>
      <c r="K383" s="338"/>
      <c r="L383" s="338"/>
      <c r="M383" s="338"/>
      <c r="N383" s="338"/>
      <c r="O383" s="338"/>
      <c r="P383" s="338"/>
      <c r="Q383" s="338"/>
      <c r="R383" s="338"/>
      <c r="S383" s="338"/>
      <c r="T383" s="338"/>
      <c r="U383" s="338"/>
    </row>
    <row r="384" spans="2:21" ht="15">
      <c r="B384" s="313"/>
      <c r="H384" s="338"/>
      <c r="I384" s="353" t="s">
        <v>116</v>
      </c>
      <c r="J384" s="532" t="s">
        <v>116</v>
      </c>
      <c r="K384" s="338"/>
      <c r="L384" s="338"/>
      <c r="M384" s="338"/>
      <c r="N384" s="338"/>
      <c r="O384" s="338"/>
      <c r="P384" s="338"/>
      <c r="Q384" s="338"/>
      <c r="R384" s="338"/>
      <c r="S384" s="338"/>
      <c r="T384" s="338"/>
      <c r="U384" s="338"/>
    </row>
    <row r="385" spans="2:21" ht="15">
      <c r="B385" s="313"/>
      <c r="H385" s="338"/>
      <c r="I385" s="353" t="s">
        <v>116</v>
      </c>
      <c r="J385" s="532" t="s">
        <v>116</v>
      </c>
      <c r="K385" s="338"/>
      <c r="L385" s="338"/>
      <c r="M385" s="338"/>
      <c r="N385" s="338"/>
      <c r="O385" s="338"/>
      <c r="P385" s="338"/>
      <c r="Q385" s="338"/>
      <c r="R385" s="338"/>
      <c r="S385" s="338"/>
      <c r="T385" s="338"/>
      <c r="U385" s="338"/>
    </row>
    <row r="386" spans="2:21" ht="15">
      <c r="B386" s="529"/>
      <c r="C386" s="338"/>
      <c r="D386" s="338"/>
      <c r="E386" s="338"/>
      <c r="F386" s="338"/>
      <c r="G386" s="338"/>
      <c r="H386" s="338"/>
      <c r="I386" s="353" t="s">
        <v>116</v>
      </c>
      <c r="J386" s="533" t="s">
        <v>116</v>
      </c>
      <c r="K386" s="338"/>
      <c r="L386" s="338"/>
      <c r="M386" s="338"/>
      <c r="N386" s="338"/>
      <c r="O386" s="338"/>
      <c r="P386" s="338"/>
      <c r="Q386" s="338"/>
      <c r="R386" s="338"/>
      <c r="S386" s="338"/>
      <c r="T386" s="338"/>
      <c r="U386" s="338"/>
    </row>
    <row r="387" spans="2:21" ht="15">
      <c r="B387" s="529"/>
      <c r="C387" s="338"/>
      <c r="D387" s="338"/>
      <c r="E387" s="338"/>
      <c r="F387" s="338"/>
      <c r="G387" s="338"/>
      <c r="H387" s="338"/>
      <c r="I387" s="353" t="s">
        <v>116</v>
      </c>
      <c r="J387" s="532" t="s">
        <v>116</v>
      </c>
      <c r="K387" s="338"/>
      <c r="L387" s="338"/>
      <c r="M387" s="338"/>
      <c r="N387" s="338"/>
      <c r="O387" s="338"/>
      <c r="P387" s="338"/>
      <c r="Q387" s="338"/>
      <c r="R387" s="338"/>
      <c r="S387" s="338"/>
      <c r="T387" s="338"/>
      <c r="U387" s="338"/>
    </row>
    <row r="388" spans="2:21" ht="15">
      <c r="B388" s="529"/>
      <c r="C388" s="338"/>
      <c r="D388" s="338"/>
      <c r="E388" s="338"/>
      <c r="F388" s="338"/>
      <c r="G388" s="338"/>
      <c r="H388" s="338"/>
      <c r="I388" s="353" t="s">
        <v>116</v>
      </c>
      <c r="J388" s="532" t="s">
        <v>116</v>
      </c>
      <c r="K388" s="338"/>
      <c r="L388" s="338"/>
      <c r="M388" s="338"/>
      <c r="N388" s="338"/>
      <c r="O388" s="338"/>
      <c r="P388" s="338"/>
      <c r="Q388" s="338"/>
      <c r="R388" s="338"/>
      <c r="S388" s="338"/>
      <c r="T388" s="338"/>
      <c r="U388" s="338"/>
    </row>
    <row r="389" spans="2:13" ht="15">
      <c r="B389" s="517"/>
      <c r="C389" s="318"/>
      <c r="D389" s="318"/>
      <c r="E389" s="318"/>
      <c r="F389" s="318"/>
      <c r="G389" s="318"/>
      <c r="H389" s="318"/>
      <c r="I389" s="353" t="s">
        <v>116</v>
      </c>
      <c r="J389" s="532" t="s">
        <v>116</v>
      </c>
      <c r="K389" s="318"/>
      <c r="L389" s="318"/>
      <c r="M389" s="318"/>
    </row>
    <row r="390" spans="2:13" ht="15">
      <c r="B390" s="517"/>
      <c r="C390" s="318"/>
      <c r="D390" s="318"/>
      <c r="E390" s="318"/>
      <c r="F390" s="318"/>
      <c r="G390" s="318"/>
      <c r="H390" s="318"/>
      <c r="I390" s="353" t="s">
        <v>116</v>
      </c>
      <c r="J390" s="532" t="s">
        <v>116</v>
      </c>
      <c r="K390" s="318"/>
      <c r="L390" s="318"/>
      <c r="M390" s="318"/>
    </row>
    <row r="391" spans="2:13" ht="15">
      <c r="B391" s="517"/>
      <c r="C391" s="318"/>
      <c r="D391" s="318"/>
      <c r="E391" s="318"/>
      <c r="F391" s="318"/>
      <c r="G391" s="318"/>
      <c r="H391" s="318"/>
      <c r="I391" s="318"/>
      <c r="J391" s="318"/>
      <c r="K391" s="318"/>
      <c r="L391" s="318"/>
      <c r="M391" s="318"/>
    </row>
    <row r="392" spans="2:13" ht="15">
      <c r="B392" s="517"/>
      <c r="C392" s="318"/>
      <c r="D392" s="318"/>
      <c r="E392" s="318"/>
      <c r="F392" s="318"/>
      <c r="G392" s="318"/>
      <c r="H392" s="318"/>
      <c r="I392" s="318"/>
      <c r="J392" s="318"/>
      <c r="K392" s="318"/>
      <c r="L392" s="318"/>
      <c r="M392" s="318"/>
    </row>
    <row r="393" spans="2:13" ht="15">
      <c r="B393" s="517"/>
      <c r="C393" s="318"/>
      <c r="D393" s="318"/>
      <c r="E393" s="318"/>
      <c r="F393" s="318"/>
      <c r="G393" s="318"/>
      <c r="H393" s="318"/>
      <c r="I393" s="318"/>
      <c r="J393" s="318"/>
      <c r="K393" s="318"/>
      <c r="L393" s="318"/>
      <c r="M393" s="318"/>
    </row>
    <row r="394" spans="2:13" ht="15">
      <c r="B394" s="517"/>
      <c r="C394" s="318"/>
      <c r="D394" s="318"/>
      <c r="E394" s="318"/>
      <c r="F394" s="318"/>
      <c r="G394" s="318"/>
      <c r="H394" s="318"/>
      <c r="I394" s="318"/>
      <c r="J394" s="318"/>
      <c r="K394" s="318"/>
      <c r="L394" s="318"/>
      <c r="M394" s="318"/>
    </row>
    <row r="395" spans="2:13" ht="15">
      <c r="B395" s="517"/>
      <c r="C395" s="318"/>
      <c r="D395" s="318"/>
      <c r="E395" s="318"/>
      <c r="F395" s="318"/>
      <c r="G395" s="318"/>
      <c r="H395" s="318"/>
      <c r="I395" s="318"/>
      <c r="J395" s="318"/>
      <c r="K395" s="318"/>
      <c r="L395" s="318"/>
      <c r="M395" s="318"/>
    </row>
    <row r="396" spans="2:13" ht="15">
      <c r="B396" s="517"/>
      <c r="C396" s="318"/>
      <c r="D396" s="318"/>
      <c r="E396" s="318"/>
      <c r="F396" s="318"/>
      <c r="G396" s="318"/>
      <c r="H396" s="318"/>
      <c r="I396" s="318"/>
      <c r="J396" s="318"/>
      <c r="K396" s="318"/>
      <c r="L396" s="318"/>
      <c r="M396" s="318"/>
    </row>
    <row r="397" spans="2:13" ht="15">
      <c r="B397" s="517"/>
      <c r="C397" s="318"/>
      <c r="D397" s="318"/>
      <c r="E397" s="318"/>
      <c r="F397" s="318"/>
      <c r="G397" s="318"/>
      <c r="H397" s="318"/>
      <c r="I397" s="318"/>
      <c r="J397" s="318"/>
      <c r="K397" s="318"/>
      <c r="L397" s="318"/>
      <c r="M397" s="318"/>
    </row>
    <row r="398" spans="2:13" ht="15">
      <c r="B398" s="517"/>
      <c r="C398" s="318"/>
      <c r="D398" s="318"/>
      <c r="E398" s="318"/>
      <c r="F398" s="318"/>
      <c r="G398" s="318"/>
      <c r="H398" s="318"/>
      <c r="I398" s="318"/>
      <c r="J398" s="318"/>
      <c r="K398" s="318"/>
      <c r="L398" s="318"/>
      <c r="M398" s="318"/>
    </row>
    <row r="399" spans="2:13" ht="15">
      <c r="B399" s="517"/>
      <c r="C399" s="318"/>
      <c r="D399" s="318"/>
      <c r="E399" s="318"/>
      <c r="F399" s="318"/>
      <c r="G399" s="318"/>
      <c r="H399" s="318"/>
      <c r="I399" s="318"/>
      <c r="J399" s="318"/>
      <c r="K399" s="318"/>
      <c r="L399" s="318"/>
      <c r="M399" s="318"/>
    </row>
    <row r="400" spans="2:13" ht="15">
      <c r="B400" s="517"/>
      <c r="C400" s="318"/>
      <c r="D400" s="318"/>
      <c r="E400" s="318"/>
      <c r="F400" s="318"/>
      <c r="G400" s="318"/>
      <c r="H400" s="318"/>
      <c r="I400" s="318"/>
      <c r="J400" s="318"/>
      <c r="K400" s="318"/>
      <c r="L400" s="318"/>
      <c r="M400" s="318"/>
    </row>
    <row r="401" spans="2:13" ht="15">
      <c r="B401" s="517"/>
      <c r="C401" s="318"/>
      <c r="D401" s="318"/>
      <c r="E401" s="318"/>
      <c r="F401" s="318"/>
      <c r="G401" s="318"/>
      <c r="H401" s="318"/>
      <c r="I401" s="318"/>
      <c r="J401" s="318"/>
      <c r="K401" s="318"/>
      <c r="L401" s="318"/>
      <c r="M401" s="318"/>
    </row>
    <row r="402" spans="2:13" ht="15">
      <c r="B402" s="517"/>
      <c r="C402" s="318"/>
      <c r="D402" s="318"/>
      <c r="E402" s="318"/>
      <c r="F402" s="318"/>
      <c r="G402" s="318"/>
      <c r="H402" s="318"/>
      <c r="I402" s="318"/>
      <c r="J402" s="318"/>
      <c r="K402" s="318"/>
      <c r="L402" s="318"/>
      <c r="M402" s="318"/>
    </row>
    <row r="403" spans="2:13" ht="15">
      <c r="B403" s="517"/>
      <c r="C403" s="318"/>
      <c r="D403" s="318"/>
      <c r="E403" s="318"/>
      <c r="F403" s="318"/>
      <c r="G403" s="318"/>
      <c r="H403" s="318"/>
      <c r="I403" s="318"/>
      <c r="J403" s="318"/>
      <c r="K403" s="318"/>
      <c r="L403" s="318"/>
      <c r="M403" s="318"/>
    </row>
    <row r="404" spans="2:13" ht="15">
      <c r="B404" s="517"/>
      <c r="C404" s="318"/>
      <c r="D404" s="318"/>
      <c r="E404" s="318"/>
      <c r="F404" s="318"/>
      <c r="G404" s="318"/>
      <c r="H404" s="318"/>
      <c r="I404" s="318"/>
      <c r="J404" s="318"/>
      <c r="K404" s="318"/>
      <c r="L404" s="318"/>
      <c r="M404" s="318"/>
    </row>
    <row r="405" spans="2:13" ht="15">
      <c r="B405" s="517"/>
      <c r="C405" s="318"/>
      <c r="D405" s="318"/>
      <c r="E405" s="318"/>
      <c r="F405" s="318"/>
      <c r="G405" s="318"/>
      <c r="H405" s="318"/>
      <c r="I405" s="318"/>
      <c r="J405" s="318"/>
      <c r="K405" s="318"/>
      <c r="L405" s="318"/>
      <c r="M405" s="318"/>
    </row>
    <row r="406" spans="2:13" ht="15">
      <c r="B406" s="517"/>
      <c r="C406" s="318"/>
      <c r="D406" s="318"/>
      <c r="E406" s="318"/>
      <c r="F406" s="318"/>
      <c r="G406" s="318"/>
      <c r="H406" s="318"/>
      <c r="I406" s="318"/>
      <c r="J406" s="318"/>
      <c r="K406" s="318"/>
      <c r="L406" s="318"/>
      <c r="M406" s="318"/>
    </row>
    <row r="407" spans="2:13" ht="15">
      <c r="B407" s="517"/>
      <c r="C407" s="318"/>
      <c r="D407" s="318"/>
      <c r="E407" s="318"/>
      <c r="F407" s="318"/>
      <c r="G407" s="318"/>
      <c r="H407" s="318"/>
      <c r="I407" s="318"/>
      <c r="J407" s="318"/>
      <c r="K407" s="318"/>
      <c r="L407" s="318"/>
      <c r="M407" s="318"/>
    </row>
    <row r="408" spans="2:13" ht="15">
      <c r="B408" s="517"/>
      <c r="C408" s="318"/>
      <c r="D408" s="318"/>
      <c r="E408" s="318"/>
      <c r="F408" s="318"/>
      <c r="G408" s="318"/>
      <c r="H408" s="318"/>
      <c r="I408" s="318"/>
      <c r="J408" s="318"/>
      <c r="K408" s="318"/>
      <c r="L408" s="318"/>
      <c r="M408" s="318"/>
    </row>
    <row r="409" spans="2:13" ht="15">
      <c r="B409" s="517"/>
      <c r="C409" s="318"/>
      <c r="D409" s="318"/>
      <c r="E409" s="318"/>
      <c r="F409" s="318"/>
      <c r="G409" s="318"/>
      <c r="H409" s="318"/>
      <c r="I409" s="318"/>
      <c r="J409" s="318"/>
      <c r="K409" s="318"/>
      <c r="L409" s="318"/>
      <c r="M409" s="318"/>
    </row>
    <row r="410" spans="2:13" ht="15">
      <c r="B410" s="517"/>
      <c r="C410" s="318"/>
      <c r="D410" s="318"/>
      <c r="E410" s="318"/>
      <c r="F410" s="318"/>
      <c r="G410" s="318"/>
      <c r="H410" s="318"/>
      <c r="I410" s="318"/>
      <c r="J410" s="318"/>
      <c r="K410" s="318"/>
      <c r="L410" s="318"/>
      <c r="M410" s="318"/>
    </row>
    <row r="411" spans="2:13" ht="15">
      <c r="B411" s="517"/>
      <c r="C411" s="318"/>
      <c r="D411" s="318"/>
      <c r="E411" s="318"/>
      <c r="F411" s="318"/>
      <c r="G411" s="318"/>
      <c r="H411" s="318"/>
      <c r="I411" s="318"/>
      <c r="J411" s="318"/>
      <c r="K411" s="318"/>
      <c r="L411" s="318"/>
      <c r="M411" s="318"/>
    </row>
    <row r="412" spans="2:13" ht="15">
      <c r="B412" s="517"/>
      <c r="C412" s="318"/>
      <c r="D412" s="318"/>
      <c r="E412" s="318"/>
      <c r="F412" s="318"/>
      <c r="G412" s="318"/>
      <c r="H412" s="318"/>
      <c r="I412" s="318"/>
      <c r="J412" s="318"/>
      <c r="K412" s="318"/>
      <c r="L412" s="318"/>
      <c r="M412" s="318"/>
    </row>
    <row r="413" spans="2:13" ht="15">
      <c r="B413" s="517"/>
      <c r="C413" s="318"/>
      <c r="D413" s="318"/>
      <c r="E413" s="318"/>
      <c r="F413" s="318"/>
      <c r="G413" s="318"/>
      <c r="H413" s="318"/>
      <c r="I413" s="318"/>
      <c r="J413" s="318"/>
      <c r="K413" s="318"/>
      <c r="L413" s="318"/>
      <c r="M413" s="318"/>
    </row>
    <row r="414" spans="2:13" ht="15">
      <c r="B414" s="517"/>
      <c r="C414" s="318"/>
      <c r="D414" s="318"/>
      <c r="E414" s="318"/>
      <c r="F414" s="318"/>
      <c r="G414" s="318"/>
      <c r="H414" s="318"/>
      <c r="I414" s="318"/>
      <c r="J414" s="318"/>
      <c r="K414" s="318"/>
      <c r="L414" s="318"/>
      <c r="M414" s="318"/>
    </row>
    <row r="415" spans="2:13" ht="15">
      <c r="B415" s="517"/>
      <c r="C415" s="318"/>
      <c r="D415" s="318"/>
      <c r="E415" s="318"/>
      <c r="F415" s="318"/>
      <c r="G415" s="318"/>
      <c r="H415" s="318"/>
      <c r="I415" s="318"/>
      <c r="J415" s="318"/>
      <c r="K415" s="318"/>
      <c r="L415" s="318"/>
      <c r="M415" s="318"/>
    </row>
    <row r="416" spans="2:13" ht="15">
      <c r="B416" s="517"/>
      <c r="C416" s="318"/>
      <c r="D416" s="318"/>
      <c r="E416" s="318"/>
      <c r="F416" s="318"/>
      <c r="G416" s="318"/>
      <c r="H416" s="318"/>
      <c r="I416" s="318"/>
      <c r="J416" s="318"/>
      <c r="K416" s="318"/>
      <c r="L416" s="318"/>
      <c r="M416" s="318"/>
    </row>
    <row r="417" spans="2:13" ht="15">
      <c r="B417" s="517"/>
      <c r="C417" s="318"/>
      <c r="D417" s="318"/>
      <c r="E417" s="318"/>
      <c r="F417" s="318"/>
      <c r="G417" s="318"/>
      <c r="H417" s="318"/>
      <c r="I417" s="318"/>
      <c r="J417" s="318"/>
      <c r="K417" s="318"/>
      <c r="L417" s="318"/>
      <c r="M417" s="318"/>
    </row>
    <row r="418" spans="2:13" ht="15">
      <c r="B418" s="517"/>
      <c r="C418" s="318"/>
      <c r="D418" s="318"/>
      <c r="E418" s="318"/>
      <c r="F418" s="318"/>
      <c r="G418" s="318"/>
      <c r="H418" s="318"/>
      <c r="I418" s="318"/>
      <c r="J418" s="318"/>
      <c r="K418" s="318"/>
      <c r="L418" s="318"/>
      <c r="M418" s="318"/>
    </row>
    <row r="419" spans="2:13" ht="15">
      <c r="B419" s="517"/>
      <c r="C419" s="318"/>
      <c r="D419" s="318"/>
      <c r="E419" s="318"/>
      <c r="F419" s="318"/>
      <c r="G419" s="318"/>
      <c r="H419" s="318"/>
      <c r="I419" s="318"/>
      <c r="J419" s="318"/>
      <c r="K419" s="318"/>
      <c r="L419" s="318"/>
      <c r="M419" s="318"/>
    </row>
    <row r="420" spans="2:13" ht="15">
      <c r="B420" s="517"/>
      <c r="C420" s="318"/>
      <c r="D420" s="318"/>
      <c r="E420" s="318"/>
      <c r="F420" s="318"/>
      <c r="G420" s="318"/>
      <c r="H420" s="318"/>
      <c r="I420" s="318"/>
      <c r="J420" s="318"/>
      <c r="K420" s="318"/>
      <c r="L420" s="318"/>
      <c r="M420" s="318"/>
    </row>
    <row r="421" spans="2:13" ht="15">
      <c r="B421" s="517"/>
      <c r="C421" s="318"/>
      <c r="D421" s="318"/>
      <c r="E421" s="318"/>
      <c r="F421" s="318"/>
      <c r="G421" s="318"/>
      <c r="H421" s="318"/>
      <c r="I421" s="318"/>
      <c r="J421" s="318"/>
      <c r="K421" s="318"/>
      <c r="L421" s="318"/>
      <c r="M421" s="318"/>
    </row>
    <row r="422" spans="2:13" ht="15">
      <c r="B422" s="517"/>
      <c r="C422" s="318"/>
      <c r="D422" s="318"/>
      <c r="E422" s="318"/>
      <c r="F422" s="318"/>
      <c r="G422" s="318"/>
      <c r="H422" s="318"/>
      <c r="I422" s="318"/>
      <c r="J422" s="318"/>
      <c r="K422" s="318"/>
      <c r="L422" s="318"/>
      <c r="M422" s="318"/>
    </row>
    <row r="423" spans="2:13" ht="15">
      <c r="B423" s="517"/>
      <c r="C423" s="318"/>
      <c r="D423" s="318"/>
      <c r="E423" s="318"/>
      <c r="F423" s="318"/>
      <c r="G423" s="318"/>
      <c r="H423" s="318"/>
      <c r="I423" s="318"/>
      <c r="J423" s="318"/>
      <c r="K423" s="318"/>
      <c r="L423" s="318"/>
      <c r="M423" s="318"/>
    </row>
    <row r="424" spans="2:13" ht="15">
      <c r="B424" s="517"/>
      <c r="C424" s="318"/>
      <c r="D424" s="318"/>
      <c r="E424" s="318"/>
      <c r="F424" s="318"/>
      <c r="G424" s="318"/>
      <c r="H424" s="318"/>
      <c r="I424" s="318"/>
      <c r="J424" s="318"/>
      <c r="K424" s="318"/>
      <c r="L424" s="318"/>
      <c r="M424" s="318"/>
    </row>
    <row r="425" spans="2:13" ht="15">
      <c r="B425" s="517"/>
      <c r="C425" s="318"/>
      <c r="D425" s="318"/>
      <c r="E425" s="318"/>
      <c r="F425" s="318"/>
      <c r="G425" s="318"/>
      <c r="H425" s="318"/>
      <c r="I425" s="318"/>
      <c r="J425" s="318"/>
      <c r="K425" s="318"/>
      <c r="L425" s="318"/>
      <c r="M425" s="318"/>
    </row>
    <row r="426" spans="2:13" ht="15">
      <c r="B426" s="517"/>
      <c r="C426" s="318"/>
      <c r="D426" s="318"/>
      <c r="E426" s="318"/>
      <c r="F426" s="318"/>
      <c r="G426" s="318"/>
      <c r="H426" s="318"/>
      <c r="I426" s="318"/>
      <c r="J426" s="318"/>
      <c r="K426" s="318"/>
      <c r="L426" s="318"/>
      <c r="M426" s="318"/>
    </row>
    <row r="427" spans="2:13" ht="15">
      <c r="B427" s="517"/>
      <c r="C427" s="318"/>
      <c r="D427" s="318"/>
      <c r="E427" s="318"/>
      <c r="F427" s="318"/>
      <c r="G427" s="318"/>
      <c r="H427" s="318"/>
      <c r="I427" s="318"/>
      <c r="J427" s="318"/>
      <c r="K427" s="318"/>
      <c r="L427" s="318"/>
      <c r="M427" s="318"/>
    </row>
    <row r="428" spans="2:13" ht="15">
      <c r="B428" s="517"/>
      <c r="C428" s="318"/>
      <c r="D428" s="318"/>
      <c r="E428" s="318"/>
      <c r="F428" s="318"/>
      <c r="G428" s="318"/>
      <c r="H428" s="318"/>
      <c r="I428" s="318"/>
      <c r="J428" s="318"/>
      <c r="K428" s="318"/>
      <c r="L428" s="318"/>
      <c r="M428" s="318"/>
    </row>
    <row r="429" spans="2:13" ht="15">
      <c r="B429" s="517"/>
      <c r="C429" s="318"/>
      <c r="D429" s="318"/>
      <c r="E429" s="318"/>
      <c r="F429" s="318"/>
      <c r="G429" s="318"/>
      <c r="H429" s="318"/>
      <c r="I429" s="318"/>
      <c r="J429" s="318"/>
      <c r="K429" s="318"/>
      <c r="L429" s="318"/>
      <c r="M429" s="318"/>
    </row>
    <row r="430" spans="2:13" ht="15">
      <c r="B430" s="517"/>
      <c r="C430" s="318"/>
      <c r="D430" s="318"/>
      <c r="E430" s="318"/>
      <c r="F430" s="318"/>
      <c r="G430" s="318"/>
      <c r="H430" s="318"/>
      <c r="I430" s="318"/>
      <c r="J430" s="318"/>
      <c r="K430" s="318"/>
      <c r="L430" s="318"/>
      <c r="M430" s="318"/>
    </row>
    <row r="431" spans="2:13" ht="15">
      <c r="B431" s="517"/>
      <c r="C431" s="318"/>
      <c r="D431" s="318"/>
      <c r="E431" s="318"/>
      <c r="F431" s="318"/>
      <c r="G431" s="318"/>
      <c r="H431" s="318"/>
      <c r="I431" s="318"/>
      <c r="J431" s="318"/>
      <c r="K431" s="318"/>
      <c r="L431" s="318"/>
      <c r="M431" s="318"/>
    </row>
    <row r="432" spans="2:13" ht="15">
      <c r="B432" s="517"/>
      <c r="C432" s="318"/>
      <c r="D432" s="318"/>
      <c r="E432" s="318"/>
      <c r="F432" s="318"/>
      <c r="G432" s="318"/>
      <c r="H432" s="318"/>
      <c r="I432" s="318"/>
      <c r="J432" s="318"/>
      <c r="K432" s="318"/>
      <c r="L432" s="318"/>
      <c r="M432" s="318"/>
    </row>
    <row r="433" spans="2:13" ht="15">
      <c r="B433" s="517"/>
      <c r="C433" s="318"/>
      <c r="D433" s="318"/>
      <c r="E433" s="318"/>
      <c r="F433" s="318"/>
      <c r="G433" s="318"/>
      <c r="H433" s="318"/>
      <c r="I433" s="318"/>
      <c r="J433" s="318"/>
      <c r="K433" s="318"/>
      <c r="L433" s="318"/>
      <c r="M433" s="318"/>
    </row>
    <row r="434" spans="2:13" ht="15">
      <c r="B434" s="517"/>
      <c r="C434" s="318"/>
      <c r="D434" s="318"/>
      <c r="E434" s="318"/>
      <c r="F434" s="318"/>
      <c r="G434" s="318"/>
      <c r="H434" s="318"/>
      <c r="I434" s="318"/>
      <c r="J434" s="318"/>
      <c r="K434" s="318"/>
      <c r="L434" s="318"/>
      <c r="M434" s="318"/>
    </row>
    <row r="435" spans="2:13" ht="15">
      <c r="B435" s="517"/>
      <c r="C435" s="318"/>
      <c r="D435" s="318"/>
      <c r="E435" s="318"/>
      <c r="F435" s="318"/>
      <c r="G435" s="318"/>
      <c r="H435" s="318"/>
      <c r="I435" s="318"/>
      <c r="J435" s="318"/>
      <c r="K435" s="318"/>
      <c r="L435" s="318"/>
      <c r="M435" s="318"/>
    </row>
    <row r="436" spans="2:13" ht="15">
      <c r="B436" s="517"/>
      <c r="C436" s="318"/>
      <c r="D436" s="318"/>
      <c r="E436" s="318"/>
      <c r="F436" s="318"/>
      <c r="G436" s="318"/>
      <c r="H436" s="318"/>
      <c r="I436" s="318"/>
      <c r="J436" s="318"/>
      <c r="K436" s="318"/>
      <c r="L436" s="318"/>
      <c r="M436" s="318"/>
    </row>
    <row r="437" spans="2:13" ht="15">
      <c r="B437" s="517"/>
      <c r="C437" s="318"/>
      <c r="D437" s="318"/>
      <c r="E437" s="318"/>
      <c r="F437" s="318"/>
      <c r="G437" s="318"/>
      <c r="H437" s="318"/>
      <c r="I437" s="318"/>
      <c r="J437" s="318"/>
      <c r="K437" s="318"/>
      <c r="L437" s="318"/>
      <c r="M437" s="318"/>
    </row>
    <row r="438" spans="2:13" ht="15">
      <c r="B438" s="517"/>
      <c r="C438" s="318"/>
      <c r="D438" s="318"/>
      <c r="E438" s="318"/>
      <c r="F438" s="318"/>
      <c r="G438" s="318"/>
      <c r="H438" s="318"/>
      <c r="I438" s="318"/>
      <c r="J438" s="318"/>
      <c r="K438" s="318"/>
      <c r="L438" s="318"/>
      <c r="M438" s="318"/>
    </row>
    <row r="439" spans="2:13" ht="15">
      <c r="B439" s="517"/>
      <c r="C439" s="318"/>
      <c r="D439" s="318"/>
      <c r="E439" s="318"/>
      <c r="F439" s="318"/>
      <c r="G439" s="318"/>
      <c r="H439" s="318"/>
      <c r="I439" s="318"/>
      <c r="J439" s="318"/>
      <c r="K439" s="318"/>
      <c r="L439" s="318"/>
      <c r="M439" s="318"/>
    </row>
    <row r="440" spans="2:13" ht="15">
      <c r="B440" s="517"/>
      <c r="C440" s="318"/>
      <c r="D440" s="318"/>
      <c r="E440" s="318"/>
      <c r="F440" s="318"/>
      <c r="G440" s="318"/>
      <c r="H440" s="318"/>
      <c r="I440" s="318"/>
      <c r="J440" s="318"/>
      <c r="K440" s="318"/>
      <c r="L440" s="318"/>
      <c r="M440" s="318"/>
    </row>
    <row r="441" spans="2:13" ht="15">
      <c r="B441" s="517"/>
      <c r="C441" s="318"/>
      <c r="D441" s="318"/>
      <c r="E441" s="318"/>
      <c r="F441" s="318"/>
      <c r="G441" s="318"/>
      <c r="H441" s="318"/>
      <c r="I441" s="318"/>
      <c r="J441" s="318"/>
      <c r="K441" s="318"/>
      <c r="L441" s="318"/>
      <c r="M441" s="318"/>
    </row>
    <row r="442" spans="2:13" ht="15">
      <c r="B442" s="517"/>
      <c r="C442" s="318"/>
      <c r="D442" s="318"/>
      <c r="E442" s="318"/>
      <c r="F442" s="318"/>
      <c r="G442" s="318"/>
      <c r="H442" s="318"/>
      <c r="I442" s="318"/>
      <c r="J442" s="318"/>
      <c r="K442" s="318"/>
      <c r="L442" s="318"/>
      <c r="M442" s="318"/>
    </row>
    <row r="443" spans="2:13" ht="15">
      <c r="B443" s="517"/>
      <c r="C443" s="318"/>
      <c r="D443" s="318"/>
      <c r="E443" s="318"/>
      <c r="F443" s="318"/>
      <c r="G443" s="318"/>
      <c r="H443" s="318"/>
      <c r="I443" s="318"/>
      <c r="J443" s="318"/>
      <c r="K443" s="318"/>
      <c r="L443" s="318"/>
      <c r="M443" s="318"/>
    </row>
    <row r="444" spans="2:13" ht="15">
      <c r="B444" s="517"/>
      <c r="C444" s="318"/>
      <c r="D444" s="318"/>
      <c r="E444" s="318"/>
      <c r="F444" s="318"/>
      <c r="G444" s="318"/>
      <c r="H444" s="318"/>
      <c r="I444" s="318"/>
      <c r="J444" s="318"/>
      <c r="K444" s="318"/>
      <c r="L444" s="318"/>
      <c r="M444" s="318"/>
    </row>
    <row r="445" spans="2:13" ht="15">
      <c r="B445" s="517"/>
      <c r="C445" s="318"/>
      <c r="D445" s="318"/>
      <c r="E445" s="318"/>
      <c r="F445" s="318"/>
      <c r="G445" s="318"/>
      <c r="H445" s="318"/>
      <c r="I445" s="318"/>
      <c r="J445" s="318"/>
      <c r="K445" s="318"/>
      <c r="L445" s="318"/>
      <c r="M445" s="318"/>
    </row>
    <row r="446" spans="2:13" ht="15">
      <c r="B446" s="517"/>
      <c r="C446" s="318"/>
      <c r="D446" s="318"/>
      <c r="E446" s="318"/>
      <c r="F446" s="318"/>
      <c r="G446" s="318"/>
      <c r="H446" s="318"/>
      <c r="I446" s="318"/>
      <c r="J446" s="318"/>
      <c r="K446" s="318"/>
      <c r="L446" s="318"/>
      <c r="M446" s="318"/>
    </row>
    <row r="447" spans="2:13" ht="15">
      <c r="B447" s="517"/>
      <c r="C447" s="318"/>
      <c r="D447" s="318"/>
      <c r="E447" s="318"/>
      <c r="F447" s="318"/>
      <c r="G447" s="318"/>
      <c r="H447" s="318"/>
      <c r="I447" s="318"/>
      <c r="J447" s="318"/>
      <c r="K447" s="318"/>
      <c r="L447" s="318"/>
      <c r="M447" s="318"/>
    </row>
    <row r="448" spans="2:13" ht="15">
      <c r="B448" s="517"/>
      <c r="C448" s="318"/>
      <c r="D448" s="318"/>
      <c r="E448" s="318"/>
      <c r="F448" s="318"/>
      <c r="G448" s="318"/>
      <c r="H448" s="318"/>
      <c r="I448" s="318"/>
      <c r="J448" s="318"/>
      <c r="K448" s="318"/>
      <c r="L448" s="318"/>
      <c r="M448" s="318"/>
    </row>
    <row r="449" spans="2:13" ht="15">
      <c r="B449" s="517"/>
      <c r="C449" s="318"/>
      <c r="D449" s="318"/>
      <c r="E449" s="318"/>
      <c r="F449" s="318"/>
      <c r="G449" s="318"/>
      <c r="H449" s="318"/>
      <c r="I449" s="318"/>
      <c r="J449" s="318"/>
      <c r="K449" s="318"/>
      <c r="L449" s="318"/>
      <c r="M449" s="318"/>
    </row>
    <row r="450" spans="2:13" ht="15">
      <c r="B450" s="517"/>
      <c r="C450" s="318"/>
      <c r="D450" s="318"/>
      <c r="E450" s="318"/>
      <c r="F450" s="318"/>
      <c r="G450" s="318"/>
      <c r="H450" s="318"/>
      <c r="I450" s="318"/>
      <c r="J450" s="318"/>
      <c r="K450" s="318"/>
      <c r="L450" s="318"/>
      <c r="M450" s="318"/>
    </row>
    <row r="451" spans="2:13" ht="15">
      <c r="B451" s="517"/>
      <c r="C451" s="318"/>
      <c r="D451" s="318"/>
      <c r="E451" s="318"/>
      <c r="F451" s="318"/>
      <c r="G451" s="318"/>
      <c r="H451" s="318"/>
      <c r="I451" s="318"/>
      <c r="J451" s="318"/>
      <c r="K451" s="318"/>
      <c r="L451" s="318"/>
      <c r="M451" s="318"/>
    </row>
    <row r="452" spans="2:13" ht="15">
      <c r="B452" s="517"/>
      <c r="C452" s="318"/>
      <c r="D452" s="318"/>
      <c r="E452" s="318"/>
      <c r="F452" s="318"/>
      <c r="G452" s="318"/>
      <c r="H452" s="318"/>
      <c r="I452" s="318"/>
      <c r="J452" s="318"/>
      <c r="K452" s="318"/>
      <c r="L452" s="318"/>
      <c r="M452" s="318"/>
    </row>
    <row r="453" spans="2:13" ht="15">
      <c r="B453" s="517"/>
      <c r="C453" s="318"/>
      <c r="D453" s="318"/>
      <c r="E453" s="318"/>
      <c r="F453" s="318"/>
      <c r="G453" s="318"/>
      <c r="H453" s="318"/>
      <c r="I453" s="318"/>
      <c r="J453" s="318"/>
      <c r="K453" s="318"/>
      <c r="L453" s="318"/>
      <c r="M453" s="318"/>
    </row>
    <row r="454" spans="2:13" ht="15">
      <c r="B454" s="517"/>
      <c r="C454" s="318"/>
      <c r="D454" s="318"/>
      <c r="E454" s="318"/>
      <c r="F454" s="318"/>
      <c r="G454" s="318"/>
      <c r="H454" s="318"/>
      <c r="I454" s="318"/>
      <c r="J454" s="318"/>
      <c r="K454" s="318"/>
      <c r="L454" s="318"/>
      <c r="M454" s="318"/>
    </row>
    <row r="455" spans="2:13" ht="15">
      <c r="B455" s="517"/>
      <c r="C455" s="318"/>
      <c r="D455" s="318"/>
      <c r="E455" s="318"/>
      <c r="F455" s="318"/>
      <c r="G455" s="318"/>
      <c r="H455" s="318"/>
      <c r="I455" s="318"/>
      <c r="J455" s="318"/>
      <c r="K455" s="318"/>
      <c r="L455" s="318"/>
      <c r="M455" s="318"/>
    </row>
    <row r="456" spans="2:13" ht="15">
      <c r="B456" s="517"/>
      <c r="C456" s="318"/>
      <c r="D456" s="318"/>
      <c r="E456" s="318"/>
      <c r="F456" s="318"/>
      <c r="G456" s="318"/>
      <c r="H456" s="318"/>
      <c r="I456" s="318"/>
      <c r="J456" s="318"/>
      <c r="K456" s="318"/>
      <c r="L456" s="318"/>
      <c r="M456" s="318"/>
    </row>
    <row r="457" spans="2:13" ht="15">
      <c r="B457" s="517"/>
      <c r="C457" s="318"/>
      <c r="D457" s="318"/>
      <c r="E457" s="318"/>
      <c r="F457" s="318"/>
      <c r="G457" s="318"/>
      <c r="H457" s="318"/>
      <c r="I457" s="318"/>
      <c r="J457" s="318"/>
      <c r="K457" s="318"/>
      <c r="L457" s="318"/>
      <c r="M457" s="318"/>
    </row>
    <row r="458" spans="2:13" ht="15">
      <c r="B458" s="517"/>
      <c r="C458" s="318"/>
      <c r="D458" s="318"/>
      <c r="E458" s="318"/>
      <c r="F458" s="318"/>
      <c r="G458" s="318"/>
      <c r="H458" s="318"/>
      <c r="I458" s="318"/>
      <c r="J458" s="318"/>
      <c r="K458" s="318"/>
      <c r="L458" s="318"/>
      <c r="M458" s="318"/>
    </row>
    <row r="459" spans="2:13" ht="15">
      <c r="B459" s="517"/>
      <c r="C459" s="318"/>
      <c r="D459" s="318"/>
      <c r="E459" s="318"/>
      <c r="F459" s="318"/>
      <c r="G459" s="318"/>
      <c r="H459" s="318"/>
      <c r="I459" s="318"/>
      <c r="J459" s="318"/>
      <c r="K459" s="318"/>
      <c r="L459" s="318"/>
      <c r="M459" s="318"/>
    </row>
    <row r="460" spans="2:13" ht="15">
      <c r="B460" s="517"/>
      <c r="C460" s="318"/>
      <c r="D460" s="318"/>
      <c r="E460" s="318"/>
      <c r="F460" s="318"/>
      <c r="G460" s="318"/>
      <c r="H460" s="318"/>
      <c r="I460" s="318"/>
      <c r="J460" s="318"/>
      <c r="K460" s="318"/>
      <c r="L460" s="318"/>
      <c r="M460" s="318"/>
    </row>
    <row r="461" spans="2:13" ht="15">
      <c r="B461" s="517"/>
      <c r="C461" s="318"/>
      <c r="D461" s="318"/>
      <c r="E461" s="318"/>
      <c r="F461" s="318"/>
      <c r="G461" s="318"/>
      <c r="H461" s="318"/>
      <c r="I461" s="318"/>
      <c r="J461" s="318"/>
      <c r="K461" s="318"/>
      <c r="L461" s="318"/>
      <c r="M461" s="318"/>
    </row>
    <row r="462" spans="2:13" ht="15">
      <c r="B462" s="517"/>
      <c r="C462" s="318"/>
      <c r="D462" s="318"/>
      <c r="E462" s="318"/>
      <c r="F462" s="318"/>
      <c r="G462" s="318"/>
      <c r="H462" s="318"/>
      <c r="I462" s="318"/>
      <c r="J462" s="318"/>
      <c r="K462" s="318"/>
      <c r="L462" s="318"/>
      <c r="M462" s="318"/>
    </row>
    <row r="463" spans="2:13" ht="15">
      <c r="B463" s="517"/>
      <c r="C463" s="318"/>
      <c r="D463" s="318"/>
      <c r="E463" s="318"/>
      <c r="F463" s="318"/>
      <c r="G463" s="318"/>
      <c r="H463" s="318"/>
      <c r="I463" s="318"/>
      <c r="J463" s="318"/>
      <c r="K463" s="318"/>
      <c r="L463" s="318"/>
      <c r="M463" s="318"/>
    </row>
    <row r="464" spans="2:13" ht="15">
      <c r="B464" s="517"/>
      <c r="C464" s="318"/>
      <c r="D464" s="318"/>
      <c r="E464" s="318"/>
      <c r="F464" s="318"/>
      <c r="G464" s="318"/>
      <c r="H464" s="318"/>
      <c r="I464" s="318"/>
      <c r="J464" s="318"/>
      <c r="K464" s="318"/>
      <c r="L464" s="318"/>
      <c r="M464" s="318"/>
    </row>
    <row r="465" spans="2:13" ht="15">
      <c r="B465" s="517"/>
      <c r="C465" s="318"/>
      <c r="D465" s="318"/>
      <c r="E465" s="318"/>
      <c r="F465" s="318"/>
      <c r="G465" s="318"/>
      <c r="H465" s="318"/>
      <c r="I465" s="318"/>
      <c r="J465" s="318"/>
      <c r="K465" s="318"/>
      <c r="L465" s="318"/>
      <c r="M465" s="318"/>
    </row>
    <row r="466" spans="2:13" ht="15">
      <c r="B466" s="517"/>
      <c r="C466" s="318"/>
      <c r="D466" s="318"/>
      <c r="E466" s="318"/>
      <c r="F466" s="318"/>
      <c r="G466" s="318"/>
      <c r="H466" s="318"/>
      <c r="I466" s="318"/>
      <c r="J466" s="318"/>
      <c r="K466" s="318"/>
      <c r="L466" s="318"/>
      <c r="M466" s="318"/>
    </row>
    <row r="467" spans="2:13" ht="15">
      <c r="B467" s="517"/>
      <c r="C467" s="318"/>
      <c r="D467" s="318"/>
      <c r="E467" s="318"/>
      <c r="F467" s="318"/>
      <c r="G467" s="318"/>
      <c r="H467" s="318"/>
      <c r="I467" s="318"/>
      <c r="J467" s="318"/>
      <c r="K467" s="318"/>
      <c r="L467" s="318"/>
      <c r="M467" s="318"/>
    </row>
    <row r="468" spans="2:13" ht="15">
      <c r="B468" s="517"/>
      <c r="C468" s="318"/>
      <c r="D468" s="318"/>
      <c r="E468" s="318"/>
      <c r="F468" s="318"/>
      <c r="G468" s="318"/>
      <c r="H468" s="318"/>
      <c r="I468" s="318"/>
      <c r="J468" s="318"/>
      <c r="K468" s="318"/>
      <c r="L468" s="318"/>
      <c r="M468" s="318"/>
    </row>
    <row r="469" spans="2:13" ht="15">
      <c r="B469" s="517"/>
      <c r="C469" s="318"/>
      <c r="D469" s="318"/>
      <c r="E469" s="318"/>
      <c r="F469" s="318"/>
      <c r="G469" s="318"/>
      <c r="H469" s="318"/>
      <c r="I469" s="318"/>
      <c r="J469" s="318"/>
      <c r="K469" s="318"/>
      <c r="L469" s="318"/>
      <c r="M469" s="318"/>
    </row>
    <row r="470" spans="2:13" ht="15">
      <c r="B470" s="517"/>
      <c r="C470" s="318"/>
      <c r="D470" s="318"/>
      <c r="E470" s="318"/>
      <c r="F470" s="318"/>
      <c r="G470" s="318"/>
      <c r="H470" s="318"/>
      <c r="I470" s="318"/>
      <c r="J470" s="318"/>
      <c r="K470" s="318"/>
      <c r="L470" s="318"/>
      <c r="M470" s="318"/>
    </row>
    <row r="471" spans="2:13" ht="15">
      <c r="B471" s="517"/>
      <c r="C471" s="318"/>
      <c r="D471" s="318"/>
      <c r="E471" s="318"/>
      <c r="F471" s="318"/>
      <c r="G471" s="318"/>
      <c r="H471" s="318"/>
      <c r="I471" s="318"/>
      <c r="J471" s="318"/>
      <c r="K471" s="318"/>
      <c r="L471" s="318"/>
      <c r="M471" s="318"/>
    </row>
    <row r="472" spans="2:13" ht="15">
      <c r="B472" s="517"/>
      <c r="C472" s="318"/>
      <c r="D472" s="318"/>
      <c r="E472" s="318"/>
      <c r="F472" s="318"/>
      <c r="G472" s="318"/>
      <c r="H472" s="318"/>
      <c r="I472" s="318"/>
      <c r="J472" s="318"/>
      <c r="K472" s="318"/>
      <c r="L472" s="318"/>
      <c r="M472" s="318"/>
    </row>
    <row r="473" spans="2:13" ht="15">
      <c r="B473" s="517"/>
      <c r="C473" s="318"/>
      <c r="D473" s="318"/>
      <c r="E473" s="318"/>
      <c r="F473" s="318"/>
      <c r="G473" s="318"/>
      <c r="H473" s="318"/>
      <c r="I473" s="318"/>
      <c r="J473" s="318"/>
      <c r="K473" s="318"/>
      <c r="L473" s="318"/>
      <c r="M473" s="318"/>
    </row>
    <row r="474" spans="2:13" ht="15">
      <c r="B474" s="517"/>
      <c r="C474" s="318"/>
      <c r="D474" s="318"/>
      <c r="E474" s="318"/>
      <c r="F474" s="318"/>
      <c r="G474" s="318"/>
      <c r="H474" s="318"/>
      <c r="I474" s="318"/>
      <c r="J474" s="318"/>
      <c r="K474" s="318"/>
      <c r="L474" s="318"/>
      <c r="M474" s="318"/>
    </row>
    <row r="475" spans="2:13" ht="15">
      <c r="B475" s="517"/>
      <c r="C475" s="318"/>
      <c r="D475" s="318"/>
      <c r="E475" s="318"/>
      <c r="F475" s="318"/>
      <c r="G475" s="318"/>
      <c r="H475" s="318"/>
      <c r="I475" s="318"/>
      <c r="J475" s="318"/>
      <c r="K475" s="318"/>
      <c r="L475" s="318"/>
      <c r="M475" s="318"/>
    </row>
    <row r="476" spans="2:13" ht="15">
      <c r="B476" s="517"/>
      <c r="C476" s="318"/>
      <c r="D476" s="318"/>
      <c r="E476" s="318"/>
      <c r="F476" s="318"/>
      <c r="G476" s="318"/>
      <c r="H476" s="318"/>
      <c r="I476" s="318"/>
      <c r="J476" s="318"/>
      <c r="K476" s="318"/>
      <c r="L476" s="318"/>
      <c r="M476" s="318"/>
    </row>
    <row r="477" spans="2:13" ht="15">
      <c r="B477" s="517"/>
      <c r="C477" s="318"/>
      <c r="D477" s="318"/>
      <c r="E477" s="318"/>
      <c r="F477" s="318"/>
      <c r="G477" s="318"/>
      <c r="H477" s="318"/>
      <c r="I477" s="318"/>
      <c r="J477" s="318"/>
      <c r="K477" s="318"/>
      <c r="L477" s="318"/>
      <c r="M477" s="318"/>
    </row>
    <row r="478" spans="2:13" ht="15">
      <c r="B478" s="517"/>
      <c r="C478" s="318"/>
      <c r="D478" s="318"/>
      <c r="E478" s="318"/>
      <c r="F478" s="318"/>
      <c r="G478" s="318"/>
      <c r="H478" s="318"/>
      <c r="I478" s="318"/>
      <c r="J478" s="318"/>
      <c r="K478" s="318"/>
      <c r="L478" s="318"/>
      <c r="M478" s="318"/>
    </row>
    <row r="479" spans="2:13" ht="15">
      <c r="B479" s="517"/>
      <c r="C479" s="318"/>
      <c r="D479" s="318"/>
      <c r="E479" s="318"/>
      <c r="F479" s="318"/>
      <c r="G479" s="318"/>
      <c r="H479" s="318"/>
      <c r="I479" s="318"/>
      <c r="J479" s="318"/>
      <c r="K479" s="318"/>
      <c r="L479" s="318"/>
      <c r="M479" s="318"/>
    </row>
    <row r="480" spans="2:13" ht="15">
      <c r="B480" s="517"/>
      <c r="C480" s="318"/>
      <c r="D480" s="318"/>
      <c r="E480" s="318"/>
      <c r="F480" s="318"/>
      <c r="G480" s="318"/>
      <c r="H480" s="318"/>
      <c r="I480" s="318"/>
      <c r="J480" s="318"/>
      <c r="K480" s="318"/>
      <c r="L480" s="318"/>
      <c r="M480" s="318"/>
    </row>
    <row r="481" spans="2:13" ht="15">
      <c r="B481" s="517"/>
      <c r="C481" s="318"/>
      <c r="D481" s="318"/>
      <c r="E481" s="318"/>
      <c r="F481" s="318"/>
      <c r="G481" s="318"/>
      <c r="H481" s="318"/>
      <c r="I481" s="318"/>
      <c r="J481" s="318"/>
      <c r="K481" s="318"/>
      <c r="L481" s="318"/>
      <c r="M481" s="318"/>
    </row>
    <row r="482" spans="2:13" ht="15">
      <c r="B482" s="517"/>
      <c r="C482" s="318"/>
      <c r="D482" s="318"/>
      <c r="E482" s="318"/>
      <c r="F482" s="318"/>
      <c r="G482" s="318"/>
      <c r="H482" s="318"/>
      <c r="I482" s="318"/>
      <c r="J482" s="318"/>
      <c r="K482" s="318"/>
      <c r="L482" s="318"/>
      <c r="M482" s="318"/>
    </row>
    <row r="483" spans="2:13" ht="15">
      <c r="B483" s="517"/>
      <c r="C483" s="318"/>
      <c r="D483" s="318"/>
      <c r="E483" s="318"/>
      <c r="F483" s="318"/>
      <c r="G483" s="318"/>
      <c r="H483" s="318"/>
      <c r="I483" s="318"/>
      <c r="J483" s="318"/>
      <c r="K483" s="318"/>
      <c r="L483" s="318"/>
      <c r="M483" s="318"/>
    </row>
    <row r="484" spans="2:13" ht="15">
      <c r="B484" s="517"/>
      <c r="C484" s="318"/>
      <c r="D484" s="318"/>
      <c r="E484" s="318"/>
      <c r="F484" s="318"/>
      <c r="G484" s="318"/>
      <c r="H484" s="318"/>
      <c r="I484" s="318"/>
      <c r="J484" s="318"/>
      <c r="K484" s="318"/>
      <c r="L484" s="318"/>
      <c r="M484" s="318"/>
    </row>
    <row r="485" spans="2:13" ht="15">
      <c r="B485" s="517"/>
      <c r="C485" s="318"/>
      <c r="D485" s="318"/>
      <c r="E485" s="318"/>
      <c r="F485" s="318"/>
      <c r="G485" s="318"/>
      <c r="H485" s="318"/>
      <c r="I485" s="318"/>
      <c r="J485" s="318"/>
      <c r="K485" s="318"/>
      <c r="L485" s="318"/>
      <c r="M485" s="318"/>
    </row>
    <row r="486" spans="2:13" ht="15">
      <c r="B486" s="517"/>
      <c r="C486" s="318"/>
      <c r="D486" s="318"/>
      <c r="E486" s="318"/>
      <c r="F486" s="318"/>
      <c r="G486" s="318"/>
      <c r="H486" s="318"/>
      <c r="I486" s="318"/>
      <c r="J486" s="318"/>
      <c r="K486" s="318"/>
      <c r="L486" s="318"/>
      <c r="M486" s="318"/>
    </row>
    <row r="487" spans="2:13" ht="15">
      <c r="B487" s="517"/>
      <c r="C487" s="318"/>
      <c r="D487" s="318"/>
      <c r="E487" s="318"/>
      <c r="F487" s="318"/>
      <c r="G487" s="318"/>
      <c r="H487" s="318"/>
      <c r="I487" s="318"/>
      <c r="J487" s="318"/>
      <c r="K487" s="318"/>
      <c r="L487" s="318"/>
      <c r="M487" s="318"/>
    </row>
    <row r="488" spans="2:13" ht="15">
      <c r="B488" s="517"/>
      <c r="C488" s="318"/>
      <c r="D488" s="318"/>
      <c r="E488" s="318"/>
      <c r="F488" s="318"/>
      <c r="G488" s="318"/>
      <c r="H488" s="318"/>
      <c r="I488" s="318"/>
      <c r="J488" s="318"/>
      <c r="K488" s="318"/>
      <c r="L488" s="318"/>
      <c r="M488" s="318"/>
    </row>
    <row r="489" spans="2:13" ht="15">
      <c r="B489" s="517"/>
      <c r="C489" s="318"/>
      <c r="D489" s="318"/>
      <c r="E489" s="318"/>
      <c r="F489" s="318"/>
      <c r="G489" s="318"/>
      <c r="H489" s="318"/>
      <c r="I489" s="318"/>
      <c r="J489" s="318"/>
      <c r="K489" s="318"/>
      <c r="L489" s="318"/>
      <c r="M489" s="318"/>
    </row>
    <row r="490" spans="2:13" ht="15">
      <c r="B490" s="517"/>
      <c r="C490" s="318"/>
      <c r="D490" s="318"/>
      <c r="E490" s="318"/>
      <c r="F490" s="318"/>
      <c r="G490" s="318"/>
      <c r="H490" s="318"/>
      <c r="I490" s="318"/>
      <c r="J490" s="318"/>
      <c r="K490" s="318"/>
      <c r="L490" s="318"/>
      <c r="M490" s="318"/>
    </row>
    <row r="491" spans="2:13" ht="15">
      <c r="B491" s="517"/>
      <c r="C491" s="318"/>
      <c r="D491" s="318"/>
      <c r="E491" s="318"/>
      <c r="F491" s="318"/>
      <c r="G491" s="318"/>
      <c r="H491" s="318"/>
      <c r="I491" s="318"/>
      <c r="J491" s="318"/>
      <c r="K491" s="318"/>
      <c r="L491" s="318"/>
      <c r="M491" s="318"/>
    </row>
    <row r="492" spans="2:13" ht="15">
      <c r="B492" s="517"/>
      <c r="C492" s="318"/>
      <c r="D492" s="318"/>
      <c r="E492" s="318"/>
      <c r="F492" s="318"/>
      <c r="G492" s="318"/>
      <c r="H492" s="318"/>
      <c r="I492" s="318"/>
      <c r="J492" s="318"/>
      <c r="K492" s="318"/>
      <c r="L492" s="318"/>
      <c r="M492" s="318"/>
    </row>
    <row r="493" spans="2:13" ht="15">
      <c r="B493" s="517"/>
      <c r="C493" s="318"/>
      <c r="D493" s="318"/>
      <c r="E493" s="318"/>
      <c r="F493" s="318"/>
      <c r="G493" s="318"/>
      <c r="H493" s="318"/>
      <c r="I493" s="318"/>
      <c r="J493" s="318"/>
      <c r="K493" s="318"/>
      <c r="L493" s="318"/>
      <c r="M493" s="318"/>
    </row>
    <row r="494" spans="2:13" ht="15">
      <c r="B494" s="517"/>
      <c r="C494" s="318"/>
      <c r="D494" s="318"/>
      <c r="E494" s="318"/>
      <c r="F494" s="318"/>
      <c r="G494" s="318"/>
      <c r="H494" s="318"/>
      <c r="I494" s="318"/>
      <c r="J494" s="318"/>
      <c r="K494" s="318"/>
      <c r="L494" s="318"/>
      <c r="M494" s="318"/>
    </row>
    <row r="495" spans="2:13" ht="15">
      <c r="B495" s="517"/>
      <c r="C495" s="318"/>
      <c r="D495" s="318"/>
      <c r="E495" s="318"/>
      <c r="F495" s="318"/>
      <c r="G495" s="318"/>
      <c r="H495" s="318"/>
      <c r="I495" s="318"/>
      <c r="J495" s="318"/>
      <c r="K495" s="318"/>
      <c r="L495" s="318"/>
      <c r="M495" s="318"/>
    </row>
    <row r="496" spans="2:13" ht="15">
      <c r="B496" s="517"/>
      <c r="C496" s="318"/>
      <c r="D496" s="318"/>
      <c r="E496" s="318"/>
      <c r="F496" s="318"/>
      <c r="G496" s="318"/>
      <c r="H496" s="318"/>
      <c r="I496" s="318"/>
      <c r="J496" s="318"/>
      <c r="K496" s="318"/>
      <c r="L496" s="318"/>
      <c r="M496" s="318"/>
    </row>
    <row r="497" spans="2:13" ht="15">
      <c r="B497" s="517"/>
      <c r="C497" s="318"/>
      <c r="D497" s="318"/>
      <c r="E497" s="318"/>
      <c r="F497" s="318"/>
      <c r="G497" s="318"/>
      <c r="H497" s="318"/>
      <c r="I497" s="318"/>
      <c r="J497" s="318"/>
      <c r="K497" s="318"/>
      <c r="L497" s="318"/>
      <c r="M497" s="318"/>
    </row>
    <row r="498" spans="2:13" ht="15">
      <c r="B498" s="517"/>
      <c r="C498" s="318"/>
      <c r="D498" s="318"/>
      <c r="E498" s="318"/>
      <c r="F498" s="318"/>
      <c r="G498" s="318"/>
      <c r="H498" s="318"/>
      <c r="I498" s="318"/>
      <c r="J498" s="318"/>
      <c r="K498" s="318"/>
      <c r="L498" s="318"/>
      <c r="M498" s="318"/>
    </row>
    <row r="499" spans="2:13" ht="15">
      <c r="B499" s="517"/>
      <c r="C499" s="318"/>
      <c r="D499" s="318"/>
      <c r="E499" s="318"/>
      <c r="F499" s="318"/>
      <c r="G499" s="318"/>
      <c r="H499" s="318"/>
      <c r="I499" s="318"/>
      <c r="J499" s="318"/>
      <c r="K499" s="318"/>
      <c r="L499" s="318"/>
      <c r="M499" s="318"/>
    </row>
    <row r="500" spans="2:13" ht="15">
      <c r="B500" s="517"/>
      <c r="C500" s="318"/>
      <c r="D500" s="318"/>
      <c r="E500" s="318"/>
      <c r="F500" s="318"/>
      <c r="G500" s="318"/>
      <c r="H500" s="318"/>
      <c r="I500" s="318"/>
      <c r="J500" s="318"/>
      <c r="K500" s="318"/>
      <c r="L500" s="318"/>
      <c r="M500" s="318"/>
    </row>
    <row r="501" spans="2:13" ht="15">
      <c r="B501" s="517"/>
      <c r="C501" s="318"/>
      <c r="D501" s="318"/>
      <c r="E501" s="318"/>
      <c r="F501" s="318"/>
      <c r="G501" s="318"/>
      <c r="H501" s="318"/>
      <c r="I501" s="318"/>
      <c r="J501" s="318"/>
      <c r="K501" s="318"/>
      <c r="L501" s="318"/>
      <c r="M501" s="318"/>
    </row>
    <row r="502" spans="2:13" ht="15">
      <c r="B502" s="517"/>
      <c r="C502" s="318"/>
      <c r="D502" s="318"/>
      <c r="E502" s="318"/>
      <c r="F502" s="318"/>
      <c r="G502" s="318"/>
      <c r="H502" s="318"/>
      <c r="I502" s="318"/>
      <c r="J502" s="318"/>
      <c r="K502" s="318"/>
      <c r="L502" s="318"/>
      <c r="M502" s="318"/>
    </row>
    <row r="503" spans="2:13" ht="15">
      <c r="B503" s="517"/>
      <c r="C503" s="318"/>
      <c r="D503" s="318"/>
      <c r="E503" s="318"/>
      <c r="F503" s="318"/>
      <c r="G503" s="318"/>
      <c r="H503" s="318"/>
      <c r="I503" s="318"/>
      <c r="J503" s="318"/>
      <c r="K503" s="318"/>
      <c r="L503" s="318"/>
      <c r="M503" s="318"/>
    </row>
    <row r="504" spans="2:13" ht="15">
      <c r="B504" s="517"/>
      <c r="C504" s="318"/>
      <c r="D504" s="318"/>
      <c r="E504" s="318"/>
      <c r="F504" s="318"/>
      <c r="G504" s="318"/>
      <c r="H504" s="318"/>
      <c r="I504" s="318"/>
      <c r="J504" s="318"/>
      <c r="K504" s="318"/>
      <c r="L504" s="318"/>
      <c r="M504" s="318"/>
    </row>
    <row r="505" spans="2:13" ht="15">
      <c r="B505" s="517"/>
      <c r="C505" s="318"/>
      <c r="D505" s="318"/>
      <c r="E505" s="318"/>
      <c r="F505" s="318"/>
      <c r="G505" s="318"/>
      <c r="H505" s="318"/>
      <c r="I505" s="318"/>
      <c r="J505" s="318"/>
      <c r="K505" s="318"/>
      <c r="L505" s="318"/>
      <c r="M505" s="318"/>
    </row>
    <row r="506" spans="2:13" ht="15">
      <c r="B506" s="517"/>
      <c r="C506" s="318"/>
      <c r="D506" s="318"/>
      <c r="E506" s="318"/>
      <c r="F506" s="318"/>
      <c r="G506" s="318"/>
      <c r="H506" s="318"/>
      <c r="I506" s="318"/>
      <c r="J506" s="318"/>
      <c r="K506" s="318"/>
      <c r="L506" s="318"/>
      <c r="M506" s="318"/>
    </row>
    <row r="507" spans="2:13" ht="15">
      <c r="B507" s="517"/>
      <c r="C507" s="318"/>
      <c r="D507" s="318"/>
      <c r="E507" s="318"/>
      <c r="F507" s="318"/>
      <c r="G507" s="318"/>
      <c r="H507" s="318"/>
      <c r="I507" s="318"/>
      <c r="J507" s="318"/>
      <c r="K507" s="318"/>
      <c r="L507" s="318"/>
      <c r="M507" s="318"/>
    </row>
    <row r="508" spans="2:13" ht="15">
      <c r="B508" s="517"/>
      <c r="C508" s="318"/>
      <c r="D508" s="318"/>
      <c r="E508" s="318"/>
      <c r="F508" s="318"/>
      <c r="G508" s="318"/>
      <c r="H508" s="318"/>
      <c r="I508" s="318"/>
      <c r="J508" s="318"/>
      <c r="K508" s="318"/>
      <c r="L508" s="318"/>
      <c r="M508" s="318"/>
    </row>
    <row r="509" spans="2:13" ht="15">
      <c r="B509" s="517"/>
      <c r="C509" s="318"/>
      <c r="D509" s="318"/>
      <c r="E509" s="318"/>
      <c r="F509" s="318"/>
      <c r="G509" s="318"/>
      <c r="H509" s="318"/>
      <c r="I509" s="318"/>
      <c r="J509" s="318"/>
      <c r="K509" s="318"/>
      <c r="L509" s="318"/>
      <c r="M509" s="318"/>
    </row>
    <row r="510" spans="2:13" ht="15">
      <c r="B510" s="517"/>
      <c r="C510" s="318"/>
      <c r="D510" s="318"/>
      <c r="E510" s="318"/>
      <c r="F510" s="318"/>
      <c r="G510" s="318"/>
      <c r="H510" s="318"/>
      <c r="I510" s="318"/>
      <c r="J510" s="318"/>
      <c r="K510" s="318"/>
      <c r="L510" s="318"/>
      <c r="M510" s="318"/>
    </row>
    <row r="511" spans="2:13" ht="15">
      <c r="B511" s="517"/>
      <c r="C511" s="318"/>
      <c r="D511" s="318"/>
      <c r="E511" s="318"/>
      <c r="F511" s="318"/>
      <c r="G511" s="318"/>
      <c r="H511" s="318"/>
      <c r="I511" s="318"/>
      <c r="J511" s="318"/>
      <c r="K511" s="318"/>
      <c r="L511" s="318"/>
      <c r="M511" s="318"/>
    </row>
    <row r="512" spans="2:13" ht="15">
      <c r="B512" s="517"/>
      <c r="C512" s="318"/>
      <c r="D512" s="318"/>
      <c r="E512" s="318"/>
      <c r="F512" s="318"/>
      <c r="G512" s="318"/>
      <c r="H512" s="318"/>
      <c r="I512" s="318"/>
      <c r="J512" s="318"/>
      <c r="K512" s="318"/>
      <c r="L512" s="318"/>
      <c r="M512" s="318"/>
    </row>
    <row r="513" spans="2:13" ht="15">
      <c r="B513" s="517"/>
      <c r="C513" s="318"/>
      <c r="D513" s="318"/>
      <c r="E513" s="318"/>
      <c r="F513" s="318"/>
      <c r="G513" s="318"/>
      <c r="H513" s="318"/>
      <c r="I513" s="318"/>
      <c r="J513" s="318"/>
      <c r="K513" s="318"/>
      <c r="L513" s="318"/>
      <c r="M513" s="318"/>
    </row>
    <row r="514" spans="2:13" ht="15">
      <c r="B514" s="517"/>
      <c r="C514" s="318"/>
      <c r="D514" s="318"/>
      <c r="E514" s="318"/>
      <c r="F514" s="318"/>
      <c r="G514" s="318"/>
      <c r="H514" s="318"/>
      <c r="I514" s="318"/>
      <c r="J514" s="318"/>
      <c r="K514" s="318"/>
      <c r="L514" s="318"/>
      <c r="M514" s="318"/>
    </row>
    <row r="515" spans="2:13" ht="15">
      <c r="B515" s="517"/>
      <c r="C515" s="318"/>
      <c r="D515" s="318"/>
      <c r="E515" s="318"/>
      <c r="F515" s="318"/>
      <c r="G515" s="318"/>
      <c r="H515" s="318"/>
      <c r="I515" s="318"/>
      <c r="J515" s="318"/>
      <c r="K515" s="318"/>
      <c r="L515" s="318"/>
      <c r="M515" s="318"/>
    </row>
    <row r="516" spans="2:13" ht="15">
      <c r="B516" s="517"/>
      <c r="C516" s="318"/>
      <c r="D516" s="318"/>
      <c r="E516" s="318"/>
      <c r="F516" s="318"/>
      <c r="G516" s="318"/>
      <c r="H516" s="318"/>
      <c r="I516" s="318"/>
      <c r="J516" s="318"/>
      <c r="K516" s="318"/>
      <c r="L516" s="318"/>
      <c r="M516" s="318"/>
    </row>
    <row r="517" spans="2:13" ht="15">
      <c r="B517" s="517"/>
      <c r="C517" s="318"/>
      <c r="D517" s="318"/>
      <c r="E517" s="318"/>
      <c r="F517" s="318"/>
      <c r="G517" s="318"/>
      <c r="H517" s="318"/>
      <c r="I517" s="318"/>
      <c r="J517" s="318"/>
      <c r="K517" s="318"/>
      <c r="L517" s="318"/>
      <c r="M517" s="318"/>
    </row>
    <row r="518" spans="2:13" ht="15">
      <c r="B518" s="517"/>
      <c r="C518" s="318"/>
      <c r="D518" s="318"/>
      <c r="E518" s="318"/>
      <c r="F518" s="318"/>
      <c r="G518" s="318"/>
      <c r="H518" s="318"/>
      <c r="I518" s="318"/>
      <c r="J518" s="318"/>
      <c r="K518" s="318"/>
      <c r="L518" s="318"/>
      <c r="M518" s="318"/>
    </row>
    <row r="519" spans="2:13" ht="15">
      <c r="B519" s="517"/>
      <c r="C519" s="318"/>
      <c r="D519" s="318"/>
      <c r="E519" s="318"/>
      <c r="F519" s="318"/>
      <c r="G519" s="318"/>
      <c r="H519" s="318"/>
      <c r="I519" s="318"/>
      <c r="J519" s="318"/>
      <c r="K519" s="318"/>
      <c r="L519" s="318"/>
      <c r="M519" s="318"/>
    </row>
    <row r="520" spans="2:13" ht="15">
      <c r="B520" s="517"/>
      <c r="C520" s="318"/>
      <c r="D520" s="318"/>
      <c r="E520" s="318"/>
      <c r="F520" s="318"/>
      <c r="G520" s="318"/>
      <c r="H520" s="318"/>
      <c r="I520" s="318"/>
      <c r="J520" s="318"/>
      <c r="K520" s="318"/>
      <c r="L520" s="318"/>
      <c r="M520" s="318"/>
    </row>
    <row r="521" spans="2:13" ht="15">
      <c r="B521" s="517"/>
      <c r="C521" s="318"/>
      <c r="D521" s="318"/>
      <c r="E521" s="318"/>
      <c r="F521" s="318"/>
      <c r="G521" s="318"/>
      <c r="H521" s="318"/>
      <c r="I521" s="318"/>
      <c r="J521" s="318"/>
      <c r="K521" s="318"/>
      <c r="L521" s="318"/>
      <c r="M521" s="318"/>
    </row>
    <row r="522" spans="2:13" ht="15">
      <c r="B522" s="517"/>
      <c r="C522" s="318"/>
      <c r="D522" s="318"/>
      <c r="E522" s="318"/>
      <c r="F522" s="318"/>
      <c r="G522" s="318"/>
      <c r="H522" s="318"/>
      <c r="I522" s="318"/>
      <c r="J522" s="318"/>
      <c r="K522" s="318"/>
      <c r="L522" s="318"/>
      <c r="M522" s="318"/>
    </row>
    <row r="523" spans="2:13" ht="15">
      <c r="B523" s="517"/>
      <c r="C523" s="318"/>
      <c r="D523" s="318"/>
      <c r="E523" s="318"/>
      <c r="F523" s="318"/>
      <c r="G523" s="318"/>
      <c r="H523" s="318"/>
      <c r="I523" s="318"/>
      <c r="J523" s="318"/>
      <c r="K523" s="318"/>
      <c r="L523" s="318"/>
      <c r="M523" s="318"/>
    </row>
    <row r="524" spans="2:13" ht="15">
      <c r="B524" s="517"/>
      <c r="C524" s="318"/>
      <c r="D524" s="318"/>
      <c r="E524" s="318"/>
      <c r="F524" s="318"/>
      <c r="G524" s="318"/>
      <c r="H524" s="318"/>
      <c r="I524" s="318"/>
      <c r="J524" s="318"/>
      <c r="K524" s="318"/>
      <c r="L524" s="318"/>
      <c r="M524" s="318"/>
    </row>
    <row r="525" spans="2:13" ht="15">
      <c r="B525" s="517"/>
      <c r="C525" s="318"/>
      <c r="D525" s="318"/>
      <c r="E525" s="318"/>
      <c r="F525" s="318"/>
      <c r="G525" s="318"/>
      <c r="H525" s="318"/>
      <c r="I525" s="318"/>
      <c r="J525" s="318"/>
      <c r="K525" s="318"/>
      <c r="L525" s="318"/>
      <c r="M525" s="318"/>
    </row>
    <row r="526" spans="2:13" ht="15">
      <c r="B526" s="517"/>
      <c r="C526" s="318"/>
      <c r="D526" s="318"/>
      <c r="E526" s="318"/>
      <c r="F526" s="318"/>
      <c r="G526" s="318"/>
      <c r="H526" s="318"/>
      <c r="I526" s="318"/>
      <c r="J526" s="318"/>
      <c r="K526" s="318"/>
      <c r="L526" s="318"/>
      <c r="M526" s="318"/>
    </row>
    <row r="527" spans="2:13" ht="15">
      <c r="B527" s="517"/>
      <c r="C527" s="318"/>
      <c r="D527" s="318"/>
      <c r="E527" s="318"/>
      <c r="F527" s="318"/>
      <c r="G527" s="318"/>
      <c r="H527" s="318"/>
      <c r="I527" s="318"/>
      <c r="J527" s="318"/>
      <c r="K527" s="318"/>
      <c r="L527" s="318"/>
      <c r="M527" s="318"/>
    </row>
    <row r="528" spans="2:13" ht="15">
      <c r="B528" s="517"/>
      <c r="C528" s="318"/>
      <c r="D528" s="318"/>
      <c r="E528" s="318"/>
      <c r="F528" s="318"/>
      <c r="G528" s="318"/>
      <c r="H528" s="318"/>
      <c r="I528" s="318"/>
      <c r="J528" s="318"/>
      <c r="K528" s="318"/>
      <c r="L528" s="318"/>
      <c r="M528" s="318"/>
    </row>
    <row r="529" spans="2:13" ht="15">
      <c r="B529" s="517"/>
      <c r="C529" s="318"/>
      <c r="D529" s="318"/>
      <c r="E529" s="318"/>
      <c r="F529" s="318"/>
      <c r="G529" s="318"/>
      <c r="H529" s="318"/>
      <c r="I529" s="318"/>
      <c r="J529" s="318"/>
      <c r="K529" s="318"/>
      <c r="L529" s="318"/>
      <c r="M529" s="318"/>
    </row>
    <row r="530" spans="2:13" ht="15">
      <c r="B530" s="517"/>
      <c r="C530" s="318"/>
      <c r="D530" s="318"/>
      <c r="E530" s="318"/>
      <c r="F530" s="318"/>
      <c r="G530" s="318"/>
      <c r="H530" s="318"/>
      <c r="I530" s="318"/>
      <c r="J530" s="318"/>
      <c r="K530" s="318"/>
      <c r="L530" s="318"/>
      <c r="M530" s="318"/>
    </row>
    <row r="531" spans="2:13" ht="15">
      <c r="B531" s="517"/>
      <c r="C531" s="318"/>
      <c r="D531" s="318"/>
      <c r="E531" s="318"/>
      <c r="F531" s="318"/>
      <c r="G531" s="318"/>
      <c r="H531" s="318"/>
      <c r="I531" s="318"/>
      <c r="J531" s="318"/>
      <c r="K531" s="318"/>
      <c r="L531" s="318"/>
      <c r="M531" s="318"/>
    </row>
    <row r="532" spans="2:13" ht="15">
      <c r="B532" s="517"/>
      <c r="C532" s="318"/>
      <c r="D532" s="318"/>
      <c r="E532" s="318"/>
      <c r="F532" s="318"/>
      <c r="G532" s="318"/>
      <c r="H532" s="318"/>
      <c r="I532" s="318"/>
      <c r="J532" s="318"/>
      <c r="K532" s="318"/>
      <c r="L532" s="318"/>
      <c r="M532" s="318"/>
    </row>
    <row r="533" spans="2:13" ht="15">
      <c r="B533" s="517"/>
      <c r="C533" s="318"/>
      <c r="D533" s="318"/>
      <c r="E533" s="318"/>
      <c r="F533" s="318"/>
      <c r="G533" s="318"/>
      <c r="H533" s="318"/>
      <c r="I533" s="318"/>
      <c r="J533" s="318"/>
      <c r="K533" s="318"/>
      <c r="L533" s="318"/>
      <c r="M533" s="318"/>
    </row>
    <row r="534" spans="2:13" ht="15">
      <c r="B534" s="517"/>
      <c r="C534" s="318"/>
      <c r="D534" s="318"/>
      <c r="E534" s="318"/>
      <c r="F534" s="318"/>
      <c r="G534" s="318"/>
      <c r="H534" s="318"/>
      <c r="I534" s="318"/>
      <c r="J534" s="318"/>
      <c r="K534" s="318"/>
      <c r="L534" s="318"/>
      <c r="M534" s="318"/>
    </row>
    <row r="535" spans="2:13" ht="15">
      <c r="B535" s="517"/>
      <c r="C535" s="318"/>
      <c r="D535" s="318"/>
      <c r="E535" s="318"/>
      <c r="F535" s="318"/>
      <c r="G535" s="318"/>
      <c r="H535" s="318"/>
      <c r="I535" s="318"/>
      <c r="J535" s="318"/>
      <c r="K535" s="318"/>
      <c r="L535" s="318"/>
      <c r="M535" s="318"/>
    </row>
    <row r="536" spans="2:13" ht="15">
      <c r="B536" s="517"/>
      <c r="C536" s="318"/>
      <c r="D536" s="318"/>
      <c r="E536" s="318"/>
      <c r="F536" s="318"/>
      <c r="G536" s="318"/>
      <c r="H536" s="318"/>
      <c r="I536" s="318"/>
      <c r="J536" s="318"/>
      <c r="K536" s="318"/>
      <c r="L536" s="318"/>
      <c r="M536" s="318"/>
    </row>
    <row r="537" spans="2:13" ht="15">
      <c r="B537" s="517"/>
      <c r="C537" s="318"/>
      <c r="D537" s="318"/>
      <c r="E537" s="318"/>
      <c r="F537" s="318"/>
      <c r="G537" s="318"/>
      <c r="H537" s="318"/>
      <c r="I537" s="318"/>
      <c r="J537" s="318"/>
      <c r="K537" s="318"/>
      <c r="L537" s="318"/>
      <c r="M537" s="318"/>
    </row>
    <row r="538" spans="2:13" ht="15">
      <c r="B538" s="517"/>
      <c r="C538" s="318"/>
      <c r="D538" s="318"/>
      <c r="E538" s="318"/>
      <c r="F538" s="318"/>
      <c r="G538" s="318"/>
      <c r="H538" s="318"/>
      <c r="I538" s="318"/>
      <c r="J538" s="318"/>
      <c r="K538" s="318"/>
      <c r="L538" s="318"/>
      <c r="M538" s="318"/>
    </row>
    <row r="539" spans="2:13" ht="15">
      <c r="B539" s="517"/>
      <c r="C539" s="318"/>
      <c r="D539" s="318"/>
      <c r="E539" s="318"/>
      <c r="F539" s="318"/>
      <c r="G539" s="318"/>
      <c r="H539" s="318"/>
      <c r="I539" s="318"/>
      <c r="J539" s="318"/>
      <c r="K539" s="318"/>
      <c r="L539" s="318"/>
      <c r="M539" s="318"/>
    </row>
    <row r="540" spans="2:13" ht="15">
      <c r="B540" s="517"/>
      <c r="C540" s="318"/>
      <c r="D540" s="318"/>
      <c r="E540" s="318"/>
      <c r="F540" s="318"/>
      <c r="G540" s="318"/>
      <c r="H540" s="318"/>
      <c r="I540" s="318"/>
      <c r="J540" s="318"/>
      <c r="K540" s="318"/>
      <c r="L540" s="318"/>
      <c r="M540" s="318"/>
    </row>
    <row r="541" spans="2:13" ht="15">
      <c r="B541" s="517"/>
      <c r="C541" s="318"/>
      <c r="D541" s="318"/>
      <c r="E541" s="318"/>
      <c r="F541" s="318"/>
      <c r="G541" s="318"/>
      <c r="H541" s="318"/>
      <c r="I541" s="318"/>
      <c r="J541" s="318"/>
      <c r="K541" s="318"/>
      <c r="L541" s="318"/>
      <c r="M541" s="318"/>
    </row>
    <row r="542" spans="2:13" ht="15">
      <c r="B542" s="517"/>
      <c r="C542" s="318"/>
      <c r="D542" s="318"/>
      <c r="E542" s="318"/>
      <c r="F542" s="318"/>
      <c r="G542" s="318"/>
      <c r="H542" s="318"/>
      <c r="I542" s="318"/>
      <c r="J542" s="318"/>
      <c r="K542" s="318"/>
      <c r="L542" s="318"/>
      <c r="M542" s="318"/>
    </row>
    <row r="543" spans="2:13" ht="15">
      <c r="B543" s="517"/>
      <c r="C543" s="318"/>
      <c r="D543" s="318"/>
      <c r="E543" s="318"/>
      <c r="F543" s="318"/>
      <c r="G543" s="318"/>
      <c r="H543" s="318"/>
      <c r="I543" s="318"/>
      <c r="J543" s="318"/>
      <c r="K543" s="318"/>
      <c r="L543" s="318"/>
      <c r="M543" s="318"/>
    </row>
    <row r="544" spans="2:13" ht="15">
      <c r="B544" s="517"/>
      <c r="C544" s="318"/>
      <c r="D544" s="318"/>
      <c r="E544" s="318"/>
      <c r="F544" s="318"/>
      <c r="G544" s="318"/>
      <c r="H544" s="318"/>
      <c r="I544" s="318"/>
      <c r="J544" s="318"/>
      <c r="K544" s="318"/>
      <c r="L544" s="318"/>
      <c r="M544" s="318"/>
    </row>
    <row r="545" spans="2:13" ht="15">
      <c r="B545" s="517"/>
      <c r="C545" s="318"/>
      <c r="D545" s="318"/>
      <c r="E545" s="318"/>
      <c r="F545" s="318"/>
      <c r="G545" s="318"/>
      <c r="H545" s="318"/>
      <c r="I545" s="318"/>
      <c r="J545" s="318"/>
      <c r="K545" s="318"/>
      <c r="L545" s="318"/>
      <c r="M545" s="318"/>
    </row>
    <row r="546" spans="2:13" ht="15">
      <c r="B546" s="517"/>
      <c r="C546" s="318"/>
      <c r="D546" s="318"/>
      <c r="E546" s="318"/>
      <c r="F546" s="318"/>
      <c r="G546" s="318"/>
      <c r="H546" s="318"/>
      <c r="I546" s="318"/>
      <c r="J546" s="318"/>
      <c r="K546" s="318"/>
      <c r="L546" s="318"/>
      <c r="M546" s="318"/>
    </row>
    <row r="547" spans="2:13" ht="15">
      <c r="B547" s="517"/>
      <c r="C547" s="318"/>
      <c r="D547" s="318"/>
      <c r="E547" s="318"/>
      <c r="F547" s="318"/>
      <c r="G547" s="318"/>
      <c r="H547" s="318"/>
      <c r="I547" s="318"/>
      <c r="J547" s="318"/>
      <c r="K547" s="318"/>
      <c r="L547" s="318"/>
      <c r="M547" s="318"/>
    </row>
    <row r="548" spans="2:13" ht="15">
      <c r="B548" s="517"/>
      <c r="C548" s="318"/>
      <c r="D548" s="318"/>
      <c r="E548" s="318"/>
      <c r="F548" s="318"/>
      <c r="G548" s="318"/>
      <c r="H548" s="318"/>
      <c r="I548" s="318"/>
      <c r="J548" s="318"/>
      <c r="K548" s="318"/>
      <c r="L548" s="318"/>
      <c r="M548" s="318"/>
    </row>
    <row r="549" spans="2:13" ht="15">
      <c r="B549" s="517"/>
      <c r="C549" s="318"/>
      <c r="D549" s="318"/>
      <c r="E549" s="318"/>
      <c r="F549" s="318"/>
      <c r="G549" s="318"/>
      <c r="H549" s="318"/>
      <c r="I549" s="318"/>
      <c r="J549" s="318"/>
      <c r="K549" s="318"/>
      <c r="L549" s="318"/>
      <c r="M549" s="318"/>
    </row>
    <row r="550" spans="2:13" ht="15">
      <c r="B550" s="517"/>
      <c r="C550" s="318"/>
      <c r="D550" s="318"/>
      <c r="E550" s="318"/>
      <c r="F550" s="318"/>
      <c r="G550" s="318"/>
      <c r="H550" s="318"/>
      <c r="I550" s="318"/>
      <c r="J550" s="318"/>
      <c r="K550" s="318"/>
      <c r="L550" s="318"/>
      <c r="M550" s="318"/>
    </row>
    <row r="551" spans="2:13" ht="15">
      <c r="B551" s="517"/>
      <c r="C551" s="318"/>
      <c r="D551" s="318"/>
      <c r="E551" s="318"/>
      <c r="F551" s="318"/>
      <c r="G551" s="318"/>
      <c r="H551" s="318"/>
      <c r="I551" s="318"/>
      <c r="J551" s="318"/>
      <c r="K551" s="318"/>
      <c r="L551" s="318"/>
      <c r="M551" s="318"/>
    </row>
    <row r="552" spans="2:13" ht="15">
      <c r="B552" s="517"/>
      <c r="C552" s="318"/>
      <c r="D552" s="318"/>
      <c r="E552" s="318"/>
      <c r="F552" s="318"/>
      <c r="G552" s="318"/>
      <c r="H552" s="318"/>
      <c r="I552" s="318"/>
      <c r="J552" s="318"/>
      <c r="K552" s="318"/>
      <c r="L552" s="318"/>
      <c r="M552" s="318"/>
    </row>
    <row r="553" spans="2:13" ht="15">
      <c r="B553" s="517"/>
      <c r="C553" s="318"/>
      <c r="D553" s="318"/>
      <c r="E553" s="318"/>
      <c r="F553" s="318"/>
      <c r="G553" s="318"/>
      <c r="H553" s="318"/>
      <c r="I553" s="318"/>
      <c r="J553" s="318"/>
      <c r="K553" s="318"/>
      <c r="L553" s="318"/>
      <c r="M553" s="318"/>
    </row>
    <row r="554" spans="2:13" ht="15">
      <c r="B554" s="517"/>
      <c r="C554" s="318"/>
      <c r="D554" s="318"/>
      <c r="E554" s="318"/>
      <c r="F554" s="318"/>
      <c r="G554" s="318"/>
      <c r="H554" s="318"/>
      <c r="I554" s="318"/>
      <c r="J554" s="318"/>
      <c r="K554" s="318"/>
      <c r="L554" s="318"/>
      <c r="M554" s="318"/>
    </row>
    <row r="555" spans="2:13" ht="15">
      <c r="B555" s="517"/>
      <c r="C555" s="318"/>
      <c r="D555" s="318"/>
      <c r="E555" s="318"/>
      <c r="F555" s="318"/>
      <c r="G555" s="318"/>
      <c r="H555" s="318"/>
      <c r="I555" s="318"/>
      <c r="J555" s="318"/>
      <c r="K555" s="318"/>
      <c r="L555" s="318"/>
      <c r="M555" s="318"/>
    </row>
    <row r="556" spans="2:13" ht="15">
      <c r="B556" s="517"/>
      <c r="C556" s="318"/>
      <c r="D556" s="318"/>
      <c r="E556" s="318"/>
      <c r="F556" s="318"/>
      <c r="G556" s="318"/>
      <c r="H556" s="318"/>
      <c r="I556" s="318"/>
      <c r="J556" s="318"/>
      <c r="K556" s="318"/>
      <c r="L556" s="318"/>
      <c r="M556" s="318"/>
    </row>
    <row r="557" spans="2:13" ht="15">
      <c r="B557" s="517"/>
      <c r="C557" s="318"/>
      <c r="D557" s="318"/>
      <c r="E557" s="318"/>
      <c r="F557" s="318"/>
      <c r="G557" s="318"/>
      <c r="H557" s="318"/>
      <c r="I557" s="318"/>
      <c r="J557" s="318"/>
      <c r="K557" s="318"/>
      <c r="L557" s="318"/>
      <c r="M557" s="318"/>
    </row>
    <row r="558" spans="2:13" ht="15">
      <c r="B558" s="517"/>
      <c r="C558" s="318"/>
      <c r="D558" s="318"/>
      <c r="E558" s="318"/>
      <c r="F558" s="318"/>
      <c r="G558" s="318"/>
      <c r="H558" s="318"/>
      <c r="I558" s="318"/>
      <c r="J558" s="318"/>
      <c r="K558" s="318"/>
      <c r="L558" s="318"/>
      <c r="M558" s="318"/>
    </row>
    <row r="559" spans="2:13" ht="15">
      <c r="B559" s="517"/>
      <c r="C559" s="318"/>
      <c r="D559" s="318"/>
      <c r="E559" s="318"/>
      <c r="F559" s="318"/>
      <c r="G559" s="318"/>
      <c r="H559" s="318"/>
      <c r="I559" s="318"/>
      <c r="J559" s="318"/>
      <c r="K559" s="318"/>
      <c r="L559" s="318"/>
      <c r="M559" s="318"/>
    </row>
    <row r="560" spans="2:13" ht="15">
      <c r="B560" s="517"/>
      <c r="C560" s="318"/>
      <c r="D560" s="318"/>
      <c r="E560" s="318"/>
      <c r="F560" s="318"/>
      <c r="G560" s="318"/>
      <c r="H560" s="318"/>
      <c r="I560" s="318"/>
      <c r="J560" s="318"/>
      <c r="K560" s="318"/>
      <c r="L560" s="318"/>
      <c r="M560" s="318"/>
    </row>
    <row r="561" spans="2:13" ht="15">
      <c r="B561" s="517"/>
      <c r="C561" s="318"/>
      <c r="D561" s="318"/>
      <c r="E561" s="318"/>
      <c r="F561" s="318"/>
      <c r="G561" s="318"/>
      <c r="H561" s="318"/>
      <c r="I561" s="318"/>
      <c r="J561" s="318"/>
      <c r="K561" s="318"/>
      <c r="L561" s="318"/>
      <c r="M561" s="318"/>
    </row>
    <row r="562" spans="2:13" ht="15">
      <c r="B562" s="517"/>
      <c r="C562" s="318"/>
      <c r="D562" s="318"/>
      <c r="E562" s="318"/>
      <c r="F562" s="318"/>
      <c r="G562" s="318"/>
      <c r="H562" s="318"/>
      <c r="I562" s="318"/>
      <c r="J562" s="318"/>
      <c r="K562" s="318"/>
      <c r="L562" s="318"/>
      <c r="M562" s="318"/>
    </row>
    <row r="563" spans="2:13" ht="15">
      <c r="B563" s="517"/>
      <c r="C563" s="318"/>
      <c r="D563" s="318"/>
      <c r="E563" s="318"/>
      <c r="F563" s="318"/>
      <c r="G563" s="318"/>
      <c r="H563" s="318"/>
      <c r="I563" s="318"/>
      <c r="J563" s="318"/>
      <c r="K563" s="318"/>
      <c r="L563" s="318"/>
      <c r="M563" s="318"/>
    </row>
    <row r="564" spans="2:13" ht="15">
      <c r="B564" s="517"/>
      <c r="C564" s="318"/>
      <c r="D564" s="318"/>
      <c r="E564" s="318"/>
      <c r="F564" s="318"/>
      <c r="G564" s="318"/>
      <c r="H564" s="318"/>
      <c r="I564" s="318"/>
      <c r="J564" s="318"/>
      <c r="K564" s="318"/>
      <c r="L564" s="318"/>
      <c r="M564" s="318"/>
    </row>
    <row r="565" spans="2:13" ht="15">
      <c r="B565" s="517"/>
      <c r="C565" s="318"/>
      <c r="D565" s="318"/>
      <c r="E565" s="318"/>
      <c r="F565" s="318"/>
      <c r="G565" s="318"/>
      <c r="H565" s="318"/>
      <c r="I565" s="318"/>
      <c r="J565" s="318"/>
      <c r="K565" s="318"/>
      <c r="L565" s="318"/>
      <c r="M565" s="318"/>
    </row>
    <row r="566" spans="2:13" ht="15">
      <c r="B566" s="517"/>
      <c r="C566" s="318"/>
      <c r="D566" s="318"/>
      <c r="E566" s="318"/>
      <c r="F566" s="318"/>
      <c r="G566" s="318"/>
      <c r="H566" s="318"/>
      <c r="I566" s="318"/>
      <c r="J566" s="318"/>
      <c r="K566" s="318"/>
      <c r="L566" s="318"/>
      <c r="M566" s="318"/>
    </row>
    <row r="567" spans="2:13" ht="15">
      <c r="B567" s="517"/>
      <c r="C567" s="318"/>
      <c r="D567" s="318"/>
      <c r="E567" s="318"/>
      <c r="F567" s="318"/>
      <c r="G567" s="318"/>
      <c r="H567" s="318"/>
      <c r="I567" s="318"/>
      <c r="J567" s="318"/>
      <c r="K567" s="318"/>
      <c r="L567" s="318"/>
      <c r="M567" s="318"/>
    </row>
    <row r="568" spans="2:13" ht="15">
      <c r="B568" s="517"/>
      <c r="C568" s="318"/>
      <c r="D568" s="318"/>
      <c r="E568" s="318"/>
      <c r="F568" s="318"/>
      <c r="G568" s="318"/>
      <c r="H568" s="318"/>
      <c r="I568" s="318"/>
      <c r="J568" s="318"/>
      <c r="K568" s="318"/>
      <c r="L568" s="318"/>
      <c r="M568" s="318"/>
    </row>
    <row r="569" spans="2:13" ht="15">
      <c r="B569" s="517"/>
      <c r="C569" s="318"/>
      <c r="D569" s="318"/>
      <c r="E569" s="318"/>
      <c r="F569" s="318"/>
      <c r="G569" s="318"/>
      <c r="H569" s="318"/>
      <c r="I569" s="318"/>
      <c r="J569" s="318"/>
      <c r="K569" s="318"/>
      <c r="L569" s="318"/>
      <c r="M569" s="318"/>
    </row>
    <row r="570" spans="2:13" ht="15">
      <c r="B570" s="517"/>
      <c r="C570" s="318"/>
      <c r="D570" s="318"/>
      <c r="E570" s="318"/>
      <c r="F570" s="318"/>
      <c r="G570" s="318"/>
      <c r="H570" s="318"/>
      <c r="I570" s="318"/>
      <c r="J570" s="318"/>
      <c r="K570" s="318"/>
      <c r="L570" s="318"/>
      <c r="M570" s="318"/>
    </row>
    <row r="571" spans="2:13" ht="15">
      <c r="B571" s="517"/>
      <c r="C571" s="318"/>
      <c r="D571" s="318"/>
      <c r="E571" s="318"/>
      <c r="F571" s="318"/>
      <c r="G571" s="318"/>
      <c r="H571" s="318"/>
      <c r="I571" s="318"/>
      <c r="J571" s="318"/>
      <c r="K571" s="318"/>
      <c r="L571" s="318"/>
      <c r="M571" s="318"/>
    </row>
    <row r="572" spans="2:13" ht="15">
      <c r="B572" s="517"/>
      <c r="C572" s="318"/>
      <c r="D572" s="318"/>
      <c r="E572" s="318"/>
      <c r="F572" s="318"/>
      <c r="G572" s="318"/>
      <c r="H572" s="318"/>
      <c r="I572" s="318"/>
      <c r="J572" s="318"/>
      <c r="K572" s="318"/>
      <c r="L572" s="318"/>
      <c r="M572" s="318"/>
    </row>
    <row r="573" spans="2:13" ht="15">
      <c r="B573" s="517"/>
      <c r="C573" s="318"/>
      <c r="D573" s="318"/>
      <c r="E573" s="318"/>
      <c r="F573" s="318"/>
      <c r="G573" s="318"/>
      <c r="H573" s="318"/>
      <c r="I573" s="318"/>
      <c r="J573" s="318"/>
      <c r="K573" s="318"/>
      <c r="L573" s="318"/>
      <c r="M573" s="318"/>
    </row>
    <row r="574" spans="2:13" ht="15">
      <c r="B574" s="517"/>
      <c r="C574" s="318"/>
      <c r="D574" s="318"/>
      <c r="E574" s="318"/>
      <c r="F574" s="318"/>
      <c r="G574" s="318"/>
      <c r="H574" s="318"/>
      <c r="I574" s="318"/>
      <c r="J574" s="318"/>
      <c r="K574" s="318"/>
      <c r="L574" s="318"/>
      <c r="M574" s="318"/>
    </row>
    <row r="575" spans="2:13" ht="15">
      <c r="B575" s="517"/>
      <c r="C575" s="318"/>
      <c r="D575" s="318"/>
      <c r="E575" s="318"/>
      <c r="F575" s="318"/>
      <c r="G575" s="318"/>
      <c r="H575" s="318"/>
      <c r="I575" s="318"/>
      <c r="J575" s="318"/>
      <c r="K575" s="318"/>
      <c r="L575" s="318"/>
      <c r="M575" s="318"/>
    </row>
    <row r="576" spans="2:13" ht="15">
      <c r="B576" s="517"/>
      <c r="C576" s="318"/>
      <c r="D576" s="318"/>
      <c r="E576" s="318"/>
      <c r="F576" s="318"/>
      <c r="G576" s="318"/>
      <c r="H576" s="318"/>
      <c r="I576" s="318"/>
      <c r="J576" s="318"/>
      <c r="K576" s="318"/>
      <c r="L576" s="318"/>
      <c r="M576" s="318"/>
    </row>
    <row r="577" spans="2:13" ht="15">
      <c r="B577" s="517"/>
      <c r="C577" s="318"/>
      <c r="D577" s="318"/>
      <c r="E577" s="318"/>
      <c r="F577" s="318"/>
      <c r="G577" s="318"/>
      <c r="H577" s="318"/>
      <c r="I577" s="318"/>
      <c r="J577" s="318"/>
      <c r="K577" s="318"/>
      <c r="L577" s="318"/>
      <c r="M577" s="318"/>
    </row>
    <row r="578" spans="2:13" ht="15">
      <c r="B578" s="517"/>
      <c r="C578" s="318"/>
      <c r="D578" s="318"/>
      <c r="E578" s="318"/>
      <c r="F578" s="318"/>
      <c r="G578" s="318"/>
      <c r="H578" s="318"/>
      <c r="I578" s="318"/>
      <c r="J578" s="318"/>
      <c r="K578" s="318"/>
      <c r="L578" s="318"/>
      <c r="M578" s="318"/>
    </row>
    <row r="579" spans="2:13" ht="15">
      <c r="B579" s="517"/>
      <c r="C579" s="318"/>
      <c r="D579" s="318"/>
      <c r="E579" s="318"/>
      <c r="F579" s="318"/>
      <c r="G579" s="318"/>
      <c r="H579" s="318"/>
      <c r="I579" s="318"/>
      <c r="J579" s="318"/>
      <c r="K579" s="318"/>
      <c r="L579" s="318"/>
      <c r="M579" s="318"/>
    </row>
    <row r="580" spans="2:13" ht="15">
      <c r="B580" s="517"/>
      <c r="C580" s="318"/>
      <c r="D580" s="318"/>
      <c r="E580" s="318"/>
      <c r="F580" s="318"/>
      <c r="G580" s="318"/>
      <c r="H580" s="318"/>
      <c r="I580" s="318"/>
      <c r="J580" s="318"/>
      <c r="K580" s="318"/>
      <c r="L580" s="318"/>
      <c r="M580" s="318"/>
    </row>
    <row r="581" spans="2:13" ht="15">
      <c r="B581" s="517"/>
      <c r="C581" s="318"/>
      <c r="D581" s="318"/>
      <c r="E581" s="318"/>
      <c r="F581" s="318"/>
      <c r="G581" s="318"/>
      <c r="H581" s="318"/>
      <c r="I581" s="318"/>
      <c r="J581" s="318"/>
      <c r="K581" s="318"/>
      <c r="L581" s="318"/>
      <c r="M581" s="318"/>
    </row>
    <row r="582" spans="2:13" ht="15">
      <c r="B582" s="517"/>
      <c r="C582" s="318"/>
      <c r="D582" s="318"/>
      <c r="E582" s="318"/>
      <c r="F582" s="318"/>
      <c r="G582" s="318"/>
      <c r="H582" s="318"/>
      <c r="I582" s="318"/>
      <c r="J582" s="318"/>
      <c r="K582" s="318"/>
      <c r="L582" s="318"/>
      <c r="M582" s="318"/>
    </row>
    <row r="583" spans="2:13" ht="15">
      <c r="B583" s="517"/>
      <c r="C583" s="318"/>
      <c r="D583" s="318"/>
      <c r="E583" s="318"/>
      <c r="F583" s="318"/>
      <c r="G583" s="318"/>
      <c r="H583" s="318"/>
      <c r="I583" s="318"/>
      <c r="J583" s="318"/>
      <c r="K583" s="318"/>
      <c r="L583" s="318"/>
      <c r="M583" s="318"/>
    </row>
    <row r="584" spans="2:13" ht="15">
      <c r="B584" s="517"/>
      <c r="C584" s="318"/>
      <c r="D584" s="318"/>
      <c r="E584" s="318"/>
      <c r="F584" s="318"/>
      <c r="G584" s="318"/>
      <c r="H584" s="318"/>
      <c r="I584" s="318"/>
      <c r="J584" s="318"/>
      <c r="K584" s="318"/>
      <c r="L584" s="318"/>
      <c r="M584" s="318"/>
    </row>
    <row r="585" spans="2:13" ht="15">
      <c r="B585" s="517"/>
      <c r="C585" s="318"/>
      <c r="D585" s="318"/>
      <c r="E585" s="318"/>
      <c r="F585" s="318"/>
      <c r="G585" s="318"/>
      <c r="H585" s="318"/>
      <c r="I585" s="318"/>
      <c r="J585" s="318"/>
      <c r="K585" s="318"/>
      <c r="L585" s="318"/>
      <c r="M585" s="318"/>
    </row>
    <row r="586" spans="2:13" ht="15">
      <c r="B586" s="517"/>
      <c r="C586" s="318"/>
      <c r="D586" s="318"/>
      <c r="E586" s="318"/>
      <c r="F586" s="318"/>
      <c r="G586" s="318"/>
      <c r="H586" s="318"/>
      <c r="I586" s="318"/>
      <c r="J586" s="318"/>
      <c r="K586" s="318"/>
      <c r="L586" s="318"/>
      <c r="M586" s="318"/>
    </row>
    <row r="587" spans="2:13" ht="15">
      <c r="B587" s="517"/>
      <c r="C587" s="318"/>
      <c r="D587" s="318"/>
      <c r="E587" s="318"/>
      <c r="F587" s="318"/>
      <c r="G587" s="318"/>
      <c r="H587" s="318"/>
      <c r="I587" s="318"/>
      <c r="J587" s="318"/>
      <c r="K587" s="318"/>
      <c r="L587" s="318"/>
      <c r="M587" s="318"/>
    </row>
    <row r="588" spans="2:13" ht="15">
      <c r="B588" s="517"/>
      <c r="C588" s="318"/>
      <c r="D588" s="318"/>
      <c r="E588" s="318"/>
      <c r="F588" s="318"/>
      <c r="G588" s="318"/>
      <c r="H588" s="318"/>
      <c r="I588" s="318"/>
      <c r="J588" s="318"/>
      <c r="K588" s="318"/>
      <c r="L588" s="318"/>
      <c r="M588" s="318"/>
    </row>
    <row r="589" spans="2:13" ht="15">
      <c r="B589" s="517"/>
      <c r="C589" s="318"/>
      <c r="D589" s="318"/>
      <c r="E589" s="318"/>
      <c r="F589" s="318"/>
      <c r="G589" s="318"/>
      <c r="H589" s="318"/>
      <c r="I589" s="318"/>
      <c r="J589" s="318"/>
      <c r="K589" s="318"/>
      <c r="L589" s="318"/>
      <c r="M589" s="318"/>
    </row>
    <row r="590" spans="2:13" ht="15">
      <c r="B590" s="517"/>
      <c r="C590" s="318"/>
      <c r="D590" s="318"/>
      <c r="E590" s="318"/>
      <c r="F590" s="318"/>
      <c r="G590" s="318"/>
      <c r="H590" s="318"/>
      <c r="I590" s="318"/>
      <c r="J590" s="318"/>
      <c r="K590" s="318"/>
      <c r="L590" s="318"/>
      <c r="M590" s="318"/>
    </row>
    <row r="591" spans="2:13" ht="15">
      <c r="B591" s="517"/>
      <c r="C591" s="318"/>
      <c r="D591" s="318"/>
      <c r="E591" s="318"/>
      <c r="F591" s="318"/>
      <c r="G591" s="318"/>
      <c r="H591" s="318"/>
      <c r="I591" s="318"/>
      <c r="J591" s="318"/>
      <c r="K591" s="318"/>
      <c r="L591" s="318"/>
      <c r="M591" s="318"/>
    </row>
    <row r="592" spans="2:13" ht="15">
      <c r="B592" s="517"/>
      <c r="C592" s="318"/>
      <c r="D592" s="318"/>
      <c r="E592" s="318"/>
      <c r="F592" s="318"/>
      <c r="G592" s="318"/>
      <c r="H592" s="318"/>
      <c r="I592" s="318"/>
      <c r="J592" s="318"/>
      <c r="K592" s="318"/>
      <c r="L592" s="318"/>
      <c r="M592" s="318"/>
    </row>
    <row r="593" spans="2:13" ht="15">
      <c r="B593" s="517"/>
      <c r="C593" s="318"/>
      <c r="D593" s="318"/>
      <c r="E593" s="318"/>
      <c r="F593" s="318"/>
      <c r="G593" s="318"/>
      <c r="H593" s="318"/>
      <c r="I593" s="318"/>
      <c r="J593" s="318"/>
      <c r="K593" s="318"/>
      <c r="L593" s="318"/>
      <c r="M593" s="318"/>
    </row>
    <row r="594" spans="2:13" ht="15">
      <c r="B594" s="517"/>
      <c r="C594" s="318"/>
      <c r="D594" s="318"/>
      <c r="E594" s="318"/>
      <c r="F594" s="318"/>
      <c r="G594" s="318"/>
      <c r="H594" s="318"/>
      <c r="I594" s="318"/>
      <c r="J594" s="318"/>
      <c r="K594" s="318"/>
      <c r="L594" s="318"/>
      <c r="M594" s="318"/>
    </row>
    <row r="595" spans="2:13" ht="15">
      <c r="B595" s="517"/>
      <c r="C595" s="318"/>
      <c r="D595" s="318"/>
      <c r="E595" s="318"/>
      <c r="F595" s="318"/>
      <c r="G595" s="318"/>
      <c r="H595" s="318"/>
      <c r="I595" s="318"/>
      <c r="J595" s="318"/>
      <c r="K595" s="318"/>
      <c r="L595" s="318"/>
      <c r="M595" s="318"/>
    </row>
    <row r="596" spans="2:13" ht="15">
      <c r="B596" s="517"/>
      <c r="C596" s="318"/>
      <c r="D596" s="318"/>
      <c r="E596" s="318"/>
      <c r="F596" s="318"/>
      <c r="G596" s="318"/>
      <c r="H596" s="318"/>
      <c r="I596" s="318"/>
      <c r="J596" s="318"/>
      <c r="K596" s="318"/>
      <c r="L596" s="318"/>
      <c r="M596" s="318"/>
    </row>
    <row r="597" spans="2:13" ht="15">
      <c r="B597" s="517"/>
      <c r="C597" s="318"/>
      <c r="D597" s="318"/>
      <c r="E597" s="318"/>
      <c r="F597" s="318"/>
      <c r="G597" s="318"/>
      <c r="H597" s="318"/>
      <c r="I597" s="318"/>
      <c r="J597" s="318"/>
      <c r="K597" s="318"/>
      <c r="L597" s="318"/>
      <c r="M597" s="318"/>
    </row>
    <row r="598" spans="2:13" ht="15">
      <c r="B598" s="517"/>
      <c r="C598" s="318"/>
      <c r="D598" s="318"/>
      <c r="E598" s="318"/>
      <c r="F598" s="318"/>
      <c r="G598" s="318"/>
      <c r="H598" s="318"/>
      <c r="I598" s="318"/>
      <c r="J598" s="318"/>
      <c r="K598" s="318"/>
      <c r="L598" s="318"/>
      <c r="M598" s="318"/>
    </row>
    <row r="599" spans="2:13" ht="15">
      <c r="B599" s="517"/>
      <c r="C599" s="318"/>
      <c r="D599" s="318"/>
      <c r="E599" s="318"/>
      <c r="F599" s="318"/>
      <c r="G599" s="318"/>
      <c r="H599" s="318"/>
      <c r="I599" s="318"/>
      <c r="J599" s="318"/>
      <c r="K599" s="318"/>
      <c r="L599" s="318"/>
      <c r="M599" s="318"/>
    </row>
    <row r="600" spans="2:13" ht="15">
      <c r="B600" s="517"/>
      <c r="C600" s="318"/>
      <c r="D600" s="318"/>
      <c r="E600" s="318"/>
      <c r="F600" s="318"/>
      <c r="G600" s="318"/>
      <c r="H600" s="318"/>
      <c r="I600" s="318"/>
      <c r="J600" s="318"/>
      <c r="K600" s="318"/>
      <c r="L600" s="318"/>
      <c r="M600" s="318"/>
    </row>
    <row r="601" spans="2:13" ht="15">
      <c r="B601" s="517"/>
      <c r="C601" s="318"/>
      <c r="D601" s="318"/>
      <c r="E601" s="318"/>
      <c r="F601" s="318"/>
      <c r="G601" s="318"/>
      <c r="H601" s="318"/>
      <c r="I601" s="318"/>
      <c r="J601" s="318"/>
      <c r="K601" s="318"/>
      <c r="L601" s="318"/>
      <c r="M601" s="318"/>
    </row>
    <row r="602" spans="2:13" ht="15">
      <c r="B602" s="517"/>
      <c r="C602" s="318"/>
      <c r="D602" s="318"/>
      <c r="E602" s="318"/>
      <c r="F602" s="318"/>
      <c r="G602" s="318"/>
      <c r="H602" s="318"/>
      <c r="I602" s="318"/>
      <c r="J602" s="318"/>
      <c r="K602" s="318"/>
      <c r="L602" s="318"/>
      <c r="M602" s="318"/>
    </row>
    <row r="603" spans="2:13" ht="15">
      <c r="B603" s="517"/>
      <c r="C603" s="318"/>
      <c r="D603" s="318"/>
      <c r="E603" s="318"/>
      <c r="F603" s="318"/>
      <c r="G603" s="318"/>
      <c r="H603" s="318"/>
      <c r="I603" s="318"/>
      <c r="J603" s="318"/>
      <c r="K603" s="318"/>
      <c r="L603" s="318"/>
      <c r="M603" s="318"/>
    </row>
    <row r="604" spans="2:13" ht="15">
      <c r="B604" s="517"/>
      <c r="C604" s="318"/>
      <c r="D604" s="318"/>
      <c r="E604" s="318"/>
      <c r="F604" s="318"/>
      <c r="G604" s="318"/>
      <c r="H604" s="318"/>
      <c r="I604" s="318"/>
      <c r="J604" s="318"/>
      <c r="K604" s="318"/>
      <c r="L604" s="318"/>
      <c r="M604" s="318"/>
    </row>
    <row r="605" spans="2:13" ht="15">
      <c r="B605" s="517"/>
      <c r="C605" s="318"/>
      <c r="D605" s="318"/>
      <c r="E605" s="318"/>
      <c r="F605" s="318"/>
      <c r="G605" s="318"/>
      <c r="H605" s="318"/>
      <c r="I605" s="318"/>
      <c r="J605" s="318"/>
      <c r="K605" s="318"/>
      <c r="L605" s="318"/>
      <c r="M605" s="318"/>
    </row>
    <row r="606" spans="2:13" ht="15">
      <c r="B606" s="517"/>
      <c r="C606" s="318"/>
      <c r="D606" s="318"/>
      <c r="E606" s="318"/>
      <c r="F606" s="318"/>
      <c r="G606" s="318"/>
      <c r="H606" s="318"/>
      <c r="I606" s="318"/>
      <c r="J606" s="318"/>
      <c r="K606" s="318"/>
      <c r="L606" s="318"/>
      <c r="M606" s="318"/>
    </row>
    <row r="607" spans="2:13" ht="15">
      <c r="B607" s="517"/>
      <c r="C607" s="318"/>
      <c r="D607" s="318"/>
      <c r="E607" s="318"/>
      <c r="F607" s="318"/>
      <c r="G607" s="318"/>
      <c r="H607" s="318"/>
      <c r="I607" s="318"/>
      <c r="J607" s="318"/>
      <c r="K607" s="318"/>
      <c r="L607" s="318"/>
      <c r="M607" s="318"/>
    </row>
    <row r="608" spans="2:13" ht="15">
      <c r="B608" s="517"/>
      <c r="C608" s="318"/>
      <c r="D608" s="318"/>
      <c r="E608" s="318"/>
      <c r="F608" s="318"/>
      <c r="G608" s="318"/>
      <c r="H608" s="318"/>
      <c r="I608" s="318"/>
      <c r="J608" s="318"/>
      <c r="K608" s="318"/>
      <c r="L608" s="318"/>
      <c r="M608" s="318"/>
    </row>
    <row r="609" spans="2:13" ht="15">
      <c r="B609" s="517"/>
      <c r="C609" s="318"/>
      <c r="D609" s="318"/>
      <c r="E609" s="318"/>
      <c r="F609" s="318"/>
      <c r="G609" s="318"/>
      <c r="H609" s="318"/>
      <c r="I609" s="318"/>
      <c r="J609" s="318"/>
      <c r="K609" s="318"/>
      <c r="L609" s="318"/>
      <c r="M609" s="318"/>
    </row>
    <row r="610" spans="2:13" ht="15">
      <c r="B610" s="517"/>
      <c r="C610" s="318"/>
      <c r="D610" s="318"/>
      <c r="E610" s="318"/>
      <c r="F610" s="318"/>
      <c r="G610" s="318"/>
      <c r="H610" s="318"/>
      <c r="I610" s="318"/>
      <c r="J610" s="318"/>
      <c r="K610" s="318"/>
      <c r="L610" s="318"/>
      <c r="M610" s="318"/>
    </row>
    <row r="611" spans="2:13" ht="15">
      <c r="B611" s="517"/>
      <c r="C611" s="318"/>
      <c r="D611" s="318"/>
      <c r="E611" s="318"/>
      <c r="F611" s="318"/>
      <c r="G611" s="318"/>
      <c r="H611" s="318"/>
      <c r="I611" s="318"/>
      <c r="J611" s="318"/>
      <c r="K611" s="318"/>
      <c r="L611" s="318"/>
      <c r="M611" s="318"/>
    </row>
    <row r="612" spans="2:13" ht="15">
      <c r="B612" s="517"/>
      <c r="C612" s="318"/>
      <c r="D612" s="318"/>
      <c r="E612" s="318"/>
      <c r="F612" s="318"/>
      <c r="G612" s="318"/>
      <c r="H612" s="318"/>
      <c r="I612" s="318"/>
      <c r="J612" s="318"/>
      <c r="K612" s="318"/>
      <c r="L612" s="318"/>
      <c r="M612" s="318"/>
    </row>
    <row r="613" spans="2:13" ht="15">
      <c r="B613" s="517"/>
      <c r="C613" s="318"/>
      <c r="D613" s="318"/>
      <c r="E613" s="318"/>
      <c r="F613" s="318"/>
      <c r="G613" s="318"/>
      <c r="H613" s="318"/>
      <c r="I613" s="318"/>
      <c r="J613" s="318"/>
      <c r="K613" s="318"/>
      <c r="L613" s="318"/>
      <c r="M613" s="318"/>
    </row>
    <row r="614" spans="2:13" ht="15">
      <c r="B614" s="517"/>
      <c r="C614" s="318"/>
      <c r="D614" s="318"/>
      <c r="E614" s="318"/>
      <c r="F614" s="318"/>
      <c r="G614" s="318"/>
      <c r="H614" s="318"/>
      <c r="I614" s="318"/>
      <c r="J614" s="318"/>
      <c r="K614" s="318"/>
      <c r="L614" s="318"/>
      <c r="M614" s="318"/>
    </row>
    <row r="615" spans="2:13" ht="15">
      <c r="B615" s="517"/>
      <c r="C615" s="318"/>
      <c r="D615" s="318"/>
      <c r="E615" s="318"/>
      <c r="F615" s="318"/>
      <c r="G615" s="318"/>
      <c r="H615" s="318"/>
      <c r="I615" s="318"/>
      <c r="J615" s="318"/>
      <c r="K615" s="318"/>
      <c r="L615" s="318"/>
      <c r="M615" s="318"/>
    </row>
    <row r="616" spans="2:13" ht="15">
      <c r="B616" s="517"/>
      <c r="C616" s="318"/>
      <c r="D616" s="318"/>
      <c r="E616" s="318"/>
      <c r="F616" s="318"/>
      <c r="G616" s="318"/>
      <c r="H616" s="318"/>
      <c r="I616" s="318"/>
      <c r="J616" s="318"/>
      <c r="K616" s="318"/>
      <c r="L616" s="318"/>
      <c r="M616" s="318"/>
    </row>
    <row r="617" spans="2:13" ht="15">
      <c r="B617" s="517"/>
      <c r="C617" s="318"/>
      <c r="D617" s="318"/>
      <c r="E617" s="318"/>
      <c r="F617" s="318"/>
      <c r="G617" s="318"/>
      <c r="H617" s="318"/>
      <c r="I617" s="318"/>
      <c r="J617" s="318"/>
      <c r="K617" s="318"/>
      <c r="L617" s="318"/>
      <c r="M617" s="318"/>
    </row>
    <row r="618" spans="2:13" ht="15">
      <c r="B618" s="517"/>
      <c r="C618" s="318"/>
      <c r="D618" s="318"/>
      <c r="E618" s="318"/>
      <c r="F618" s="318"/>
      <c r="G618" s="318"/>
      <c r="H618" s="318"/>
      <c r="I618" s="318"/>
      <c r="J618" s="318"/>
      <c r="K618" s="318"/>
      <c r="L618" s="318"/>
      <c r="M618" s="318"/>
    </row>
    <row r="619" spans="2:13" ht="15">
      <c r="B619" s="517"/>
      <c r="C619" s="318"/>
      <c r="D619" s="318"/>
      <c r="E619" s="318"/>
      <c r="F619" s="318"/>
      <c r="G619" s="318"/>
      <c r="H619" s="318"/>
      <c r="I619" s="318"/>
      <c r="J619" s="318"/>
      <c r="K619" s="318"/>
      <c r="L619" s="318"/>
      <c r="M619" s="318"/>
    </row>
    <row r="620" spans="2:13" ht="15">
      <c r="B620" s="517"/>
      <c r="C620" s="318"/>
      <c r="D620" s="318"/>
      <c r="E620" s="318"/>
      <c r="F620" s="318"/>
      <c r="G620" s="318"/>
      <c r="H620" s="318"/>
      <c r="I620" s="318"/>
      <c r="J620" s="318"/>
      <c r="K620" s="318"/>
      <c r="L620" s="318"/>
      <c r="M620" s="318"/>
    </row>
    <row r="621" spans="2:13" ht="15">
      <c r="B621" s="517"/>
      <c r="C621" s="318"/>
      <c r="D621" s="318"/>
      <c r="E621" s="318"/>
      <c r="F621" s="318"/>
      <c r="G621" s="318"/>
      <c r="H621" s="318"/>
      <c r="I621" s="318"/>
      <c r="J621" s="318"/>
      <c r="K621" s="318"/>
      <c r="L621" s="318"/>
      <c r="M621" s="318"/>
    </row>
    <row r="622" spans="2:13" ht="15">
      <c r="B622" s="517"/>
      <c r="C622" s="318"/>
      <c r="D622" s="318"/>
      <c r="E622" s="318"/>
      <c r="F622" s="318"/>
      <c r="G622" s="318"/>
      <c r="H622" s="318"/>
      <c r="I622" s="318"/>
      <c r="J622" s="318"/>
      <c r="K622" s="318"/>
      <c r="L622" s="318"/>
      <c r="M622" s="318"/>
    </row>
    <row r="623" spans="2:13" ht="15">
      <c r="B623" s="517"/>
      <c r="C623" s="318"/>
      <c r="D623" s="318"/>
      <c r="E623" s="318"/>
      <c r="F623" s="318"/>
      <c r="G623" s="318"/>
      <c r="H623" s="318"/>
      <c r="I623" s="318"/>
      <c r="J623" s="318"/>
      <c r="K623" s="318"/>
      <c r="L623" s="318"/>
      <c r="M623" s="318"/>
    </row>
    <row r="624" spans="2:13" ht="15">
      <c r="B624" s="517"/>
      <c r="C624" s="318"/>
      <c r="D624" s="318"/>
      <c r="E624" s="318"/>
      <c r="F624" s="318"/>
      <c r="G624" s="318"/>
      <c r="H624" s="318"/>
      <c r="I624" s="318"/>
      <c r="J624" s="318"/>
      <c r="K624" s="318"/>
      <c r="L624" s="318"/>
      <c r="M624" s="318"/>
    </row>
    <row r="625" spans="2:13" ht="15">
      <c r="B625" s="517"/>
      <c r="C625" s="318"/>
      <c r="D625" s="318"/>
      <c r="E625" s="318"/>
      <c r="F625" s="318"/>
      <c r="G625" s="318"/>
      <c r="H625" s="318"/>
      <c r="I625" s="318"/>
      <c r="J625" s="318"/>
      <c r="K625" s="318"/>
      <c r="L625" s="318"/>
      <c r="M625" s="318"/>
    </row>
    <row r="626" spans="2:13" ht="15">
      <c r="B626" s="517"/>
      <c r="C626" s="318"/>
      <c r="D626" s="318"/>
      <c r="E626" s="318"/>
      <c r="F626" s="318"/>
      <c r="G626" s="318"/>
      <c r="H626" s="318"/>
      <c r="I626" s="318"/>
      <c r="J626" s="318"/>
      <c r="K626" s="318"/>
      <c r="L626" s="318"/>
      <c r="M626" s="318"/>
    </row>
    <row r="627" spans="2:13" ht="15">
      <c r="B627" s="517"/>
      <c r="C627" s="318"/>
      <c r="D627" s="318"/>
      <c r="E627" s="318"/>
      <c r="F627" s="318"/>
      <c r="G627" s="318"/>
      <c r="H627" s="318"/>
      <c r="I627" s="318"/>
      <c r="J627" s="318"/>
      <c r="K627" s="318"/>
      <c r="L627" s="318"/>
      <c r="M627" s="318"/>
    </row>
    <row r="628" spans="2:13" ht="15">
      <c r="B628" s="517"/>
      <c r="C628" s="318"/>
      <c r="D628" s="318"/>
      <c r="E628" s="318"/>
      <c r="F628" s="318"/>
      <c r="G628" s="318"/>
      <c r="H628" s="318"/>
      <c r="I628" s="318"/>
      <c r="J628" s="318"/>
      <c r="K628" s="318"/>
      <c r="L628" s="318"/>
      <c r="M628" s="318"/>
    </row>
    <row r="629" spans="2:13" ht="15">
      <c r="B629" s="517"/>
      <c r="C629" s="318"/>
      <c r="D629" s="318"/>
      <c r="E629" s="318"/>
      <c r="F629" s="318"/>
      <c r="G629" s="318"/>
      <c r="H629" s="318"/>
      <c r="I629" s="318"/>
      <c r="J629" s="318"/>
      <c r="K629" s="318"/>
      <c r="L629" s="318"/>
      <c r="M629" s="318"/>
    </row>
    <row r="630" spans="2:13" ht="15">
      <c r="B630" s="517"/>
      <c r="C630" s="318"/>
      <c r="D630" s="318"/>
      <c r="E630" s="318"/>
      <c r="F630" s="318"/>
      <c r="G630" s="318"/>
      <c r="H630" s="318"/>
      <c r="I630" s="318"/>
      <c r="J630" s="318"/>
      <c r="K630" s="318"/>
      <c r="L630" s="318"/>
      <c r="M630" s="318"/>
    </row>
    <row r="631" spans="2:13" ht="15">
      <c r="B631" s="517"/>
      <c r="C631" s="318"/>
      <c r="D631" s="318"/>
      <c r="E631" s="318"/>
      <c r="F631" s="318"/>
      <c r="G631" s="318"/>
      <c r="H631" s="318"/>
      <c r="I631" s="318"/>
      <c r="J631" s="318"/>
      <c r="K631" s="318"/>
      <c r="L631" s="318"/>
      <c r="M631" s="318"/>
    </row>
    <row r="632" spans="2:13" ht="15">
      <c r="B632" s="517"/>
      <c r="C632" s="318"/>
      <c r="D632" s="318"/>
      <c r="E632" s="318"/>
      <c r="F632" s="318"/>
      <c r="G632" s="318"/>
      <c r="H632" s="318"/>
      <c r="I632" s="318"/>
      <c r="J632" s="318"/>
      <c r="K632" s="318"/>
      <c r="L632" s="318"/>
      <c r="M632" s="318"/>
    </row>
    <row r="633" spans="2:13" ht="15">
      <c r="B633" s="517"/>
      <c r="C633" s="318"/>
      <c r="D633" s="318"/>
      <c r="E633" s="318"/>
      <c r="F633" s="318"/>
      <c r="G633" s="318"/>
      <c r="H633" s="318"/>
      <c r="I633" s="318"/>
      <c r="J633" s="318"/>
      <c r="K633" s="318"/>
      <c r="L633" s="318"/>
      <c r="M633" s="318"/>
    </row>
    <row r="634" spans="2:13" ht="15">
      <c r="B634" s="517"/>
      <c r="C634" s="318"/>
      <c r="D634" s="318"/>
      <c r="E634" s="318"/>
      <c r="F634" s="318"/>
      <c r="G634" s="318"/>
      <c r="H634" s="318"/>
      <c r="I634" s="318"/>
      <c r="J634" s="318"/>
      <c r="K634" s="318"/>
      <c r="L634" s="318"/>
      <c r="M634" s="318"/>
    </row>
    <row r="635" spans="2:13" ht="15">
      <c r="B635" s="517"/>
      <c r="C635" s="318"/>
      <c r="D635" s="318"/>
      <c r="E635" s="318"/>
      <c r="F635" s="318"/>
      <c r="G635" s="318"/>
      <c r="H635" s="318"/>
      <c r="I635" s="318"/>
      <c r="J635" s="318"/>
      <c r="K635" s="318"/>
      <c r="L635" s="318"/>
      <c r="M635" s="318"/>
    </row>
    <row r="636" spans="2:13" ht="15">
      <c r="B636" s="517"/>
      <c r="C636" s="318"/>
      <c r="D636" s="318"/>
      <c r="E636" s="318"/>
      <c r="F636" s="318"/>
      <c r="G636" s="318"/>
      <c r="H636" s="318"/>
      <c r="I636" s="318"/>
      <c r="J636" s="318"/>
      <c r="K636" s="318"/>
      <c r="L636" s="318"/>
      <c r="M636" s="318"/>
    </row>
    <row r="637" spans="2:13" ht="15">
      <c r="B637" s="517"/>
      <c r="C637" s="318"/>
      <c r="D637" s="318"/>
      <c r="E637" s="318"/>
      <c r="F637" s="318"/>
      <c r="G637" s="318"/>
      <c r="H637" s="318"/>
      <c r="I637" s="318"/>
      <c r="J637" s="318"/>
      <c r="K637" s="318"/>
      <c r="L637" s="318"/>
      <c r="M637" s="318"/>
    </row>
    <row r="638" spans="2:13" ht="15">
      <c r="B638" s="517"/>
      <c r="C638" s="318"/>
      <c r="D638" s="318"/>
      <c r="E638" s="318"/>
      <c r="F638" s="318"/>
      <c r="G638" s="318"/>
      <c r="H638" s="318"/>
      <c r="I638" s="318"/>
      <c r="J638" s="318"/>
      <c r="K638" s="318"/>
      <c r="L638" s="318"/>
      <c r="M638" s="318"/>
    </row>
    <row r="639" spans="2:13" ht="15">
      <c r="B639" s="517"/>
      <c r="C639" s="318"/>
      <c r="D639" s="318"/>
      <c r="E639" s="318"/>
      <c r="F639" s="318"/>
      <c r="G639" s="318"/>
      <c r="H639" s="318"/>
      <c r="I639" s="318"/>
      <c r="J639" s="318"/>
      <c r="K639" s="318"/>
      <c r="L639" s="318"/>
      <c r="M639" s="318"/>
    </row>
    <row r="640" spans="2:13" ht="15">
      <c r="B640" s="517"/>
      <c r="C640" s="318"/>
      <c r="D640" s="318"/>
      <c r="E640" s="318"/>
      <c r="F640" s="318"/>
      <c r="G640" s="318"/>
      <c r="H640" s="318"/>
      <c r="I640" s="318"/>
      <c r="J640" s="318"/>
      <c r="K640" s="318"/>
      <c r="L640" s="318"/>
      <c r="M640" s="318"/>
    </row>
    <row r="641" spans="2:13" ht="15">
      <c r="B641" s="517"/>
      <c r="C641" s="318"/>
      <c r="D641" s="318"/>
      <c r="E641" s="318"/>
      <c r="F641" s="318"/>
      <c r="G641" s="318"/>
      <c r="H641" s="318"/>
      <c r="I641" s="318"/>
      <c r="J641" s="318"/>
      <c r="K641" s="318"/>
      <c r="L641" s="318"/>
      <c r="M641" s="318"/>
    </row>
    <row r="642" spans="2:13" ht="15">
      <c r="B642" s="517"/>
      <c r="C642" s="318"/>
      <c r="D642" s="318"/>
      <c r="E642" s="318"/>
      <c r="F642" s="318"/>
      <c r="G642" s="318"/>
      <c r="H642" s="318"/>
      <c r="I642" s="318"/>
      <c r="J642" s="318"/>
      <c r="K642" s="318"/>
      <c r="L642" s="318"/>
      <c r="M642" s="318"/>
    </row>
    <row r="643" spans="2:13" ht="15">
      <c r="B643" s="517"/>
      <c r="C643" s="318"/>
      <c r="D643" s="318"/>
      <c r="E643" s="318"/>
      <c r="F643" s="318"/>
      <c r="G643" s="318"/>
      <c r="H643" s="318"/>
      <c r="I643" s="318"/>
      <c r="J643" s="318"/>
      <c r="K643" s="318"/>
      <c r="L643" s="318"/>
      <c r="M643" s="318"/>
    </row>
    <row r="644" spans="2:13" ht="15">
      <c r="B644" s="517"/>
      <c r="C644" s="318"/>
      <c r="D644" s="318"/>
      <c r="E644" s="318"/>
      <c r="F644" s="318"/>
      <c r="G644" s="318"/>
      <c r="H644" s="318"/>
      <c r="I644" s="318"/>
      <c r="J644" s="318"/>
      <c r="K644" s="318"/>
      <c r="L644" s="318"/>
      <c r="M644" s="318"/>
    </row>
    <row r="645" spans="2:13" ht="15">
      <c r="B645" s="517"/>
      <c r="C645" s="318"/>
      <c r="D645" s="318"/>
      <c r="E645" s="318"/>
      <c r="F645" s="318"/>
      <c r="G645" s="318"/>
      <c r="H645" s="318"/>
      <c r="I645" s="318"/>
      <c r="J645" s="318"/>
      <c r="K645" s="318"/>
      <c r="L645" s="318"/>
      <c r="M645" s="318"/>
    </row>
    <row r="646" spans="2:13" ht="15">
      <c r="B646" s="517"/>
      <c r="C646" s="318"/>
      <c r="D646" s="318"/>
      <c r="E646" s="318"/>
      <c r="F646" s="318"/>
      <c r="G646" s="318"/>
      <c r="H646" s="318"/>
      <c r="I646" s="318"/>
      <c r="J646" s="318"/>
      <c r="K646" s="318"/>
      <c r="L646" s="318"/>
      <c r="M646" s="318"/>
    </row>
    <row r="647" spans="2:13" ht="15">
      <c r="B647" s="517"/>
      <c r="C647" s="318"/>
      <c r="D647" s="318"/>
      <c r="E647" s="318"/>
      <c r="F647" s="318"/>
      <c r="G647" s="318"/>
      <c r="H647" s="318"/>
      <c r="I647" s="318"/>
      <c r="J647" s="318"/>
      <c r="K647" s="318"/>
      <c r="L647" s="318"/>
      <c r="M647" s="318"/>
    </row>
    <row r="648" spans="2:13" ht="15">
      <c r="B648" s="517"/>
      <c r="C648" s="318"/>
      <c r="D648" s="318"/>
      <c r="E648" s="318"/>
      <c r="F648" s="318"/>
      <c r="G648" s="318"/>
      <c r="H648" s="318"/>
      <c r="I648" s="318"/>
      <c r="J648" s="318"/>
      <c r="K648" s="318"/>
      <c r="L648" s="318"/>
      <c r="M648" s="318"/>
    </row>
    <row r="649" spans="2:13" ht="15">
      <c r="B649" s="517"/>
      <c r="C649" s="318"/>
      <c r="D649" s="318"/>
      <c r="E649" s="318"/>
      <c r="F649" s="318"/>
      <c r="G649" s="318"/>
      <c r="H649" s="318"/>
      <c r="I649" s="318"/>
      <c r="J649" s="318"/>
      <c r="K649" s="318"/>
      <c r="L649" s="318"/>
      <c r="M649" s="318"/>
    </row>
    <row r="650" spans="2:13" ht="15">
      <c r="B650" s="517"/>
      <c r="C650" s="318"/>
      <c r="D650" s="318"/>
      <c r="E650" s="318"/>
      <c r="F650" s="318"/>
      <c r="G650" s="318"/>
      <c r="H650" s="318"/>
      <c r="I650" s="318"/>
      <c r="J650" s="318"/>
      <c r="K650" s="318"/>
      <c r="L650" s="318"/>
      <c r="M650" s="318"/>
    </row>
    <row r="651" spans="2:13" ht="15">
      <c r="B651" s="517"/>
      <c r="C651" s="318"/>
      <c r="D651" s="318"/>
      <c r="E651" s="318"/>
      <c r="F651" s="318"/>
      <c r="G651" s="318"/>
      <c r="H651" s="318"/>
      <c r="I651" s="318"/>
      <c r="J651" s="318"/>
      <c r="K651" s="318"/>
      <c r="L651" s="318"/>
      <c r="M651" s="318"/>
    </row>
    <row r="652" spans="2:13" ht="15">
      <c r="B652" s="517"/>
      <c r="C652" s="318"/>
      <c r="D652" s="318"/>
      <c r="E652" s="318"/>
      <c r="F652" s="318"/>
      <c r="G652" s="318"/>
      <c r="H652" s="318"/>
      <c r="I652" s="318"/>
      <c r="J652" s="318"/>
      <c r="K652" s="318"/>
      <c r="L652" s="318"/>
      <c r="M652" s="318"/>
    </row>
    <row r="653" spans="2:13" ht="15">
      <c r="B653" s="517"/>
      <c r="C653" s="318"/>
      <c r="D653" s="318"/>
      <c r="E653" s="318"/>
      <c r="F653" s="318"/>
      <c r="G653" s="318"/>
      <c r="H653" s="318"/>
      <c r="I653" s="318"/>
      <c r="J653" s="318"/>
      <c r="K653" s="318"/>
      <c r="L653" s="318"/>
      <c r="M653" s="318"/>
    </row>
    <row r="654" spans="2:13" ht="15">
      <c r="B654" s="517"/>
      <c r="C654" s="318"/>
      <c r="D654" s="318"/>
      <c r="E654" s="318"/>
      <c r="F654" s="318"/>
      <c r="G654" s="318"/>
      <c r="H654" s="318"/>
      <c r="I654" s="318"/>
      <c r="J654" s="318"/>
      <c r="K654" s="318"/>
      <c r="L654" s="318"/>
      <c r="M654" s="318"/>
    </row>
    <row r="655" spans="2:13" ht="15">
      <c r="B655" s="517"/>
      <c r="C655" s="318"/>
      <c r="D655" s="318"/>
      <c r="E655" s="318"/>
      <c r="F655" s="318"/>
      <c r="G655" s="318"/>
      <c r="H655" s="318"/>
      <c r="I655" s="318"/>
      <c r="J655" s="318"/>
      <c r="K655" s="318"/>
      <c r="L655" s="318"/>
      <c r="M655" s="318"/>
    </row>
    <row r="656" spans="2:13" ht="15">
      <c r="B656" s="517"/>
      <c r="C656" s="318"/>
      <c r="D656" s="318"/>
      <c r="E656" s="318"/>
      <c r="F656" s="318"/>
      <c r="G656" s="318"/>
      <c r="H656" s="318"/>
      <c r="I656" s="318"/>
      <c r="J656" s="318"/>
      <c r="K656" s="318"/>
      <c r="L656" s="318"/>
      <c r="M656" s="318"/>
    </row>
    <row r="657" spans="2:13" ht="15">
      <c r="B657" s="517"/>
      <c r="C657" s="318"/>
      <c r="D657" s="318"/>
      <c r="E657" s="318"/>
      <c r="F657" s="318"/>
      <c r="G657" s="318"/>
      <c r="H657" s="318"/>
      <c r="I657" s="318"/>
      <c r="J657" s="318"/>
      <c r="K657" s="318"/>
      <c r="L657" s="318"/>
      <c r="M657" s="318"/>
    </row>
    <row r="658" spans="2:13" ht="15">
      <c r="B658" s="517"/>
      <c r="C658" s="318"/>
      <c r="D658" s="318"/>
      <c r="E658" s="318"/>
      <c r="F658" s="318"/>
      <c r="G658" s="318"/>
      <c r="H658" s="318"/>
      <c r="I658" s="318"/>
      <c r="J658" s="318"/>
      <c r="K658" s="318"/>
      <c r="L658" s="318"/>
      <c r="M658" s="318"/>
    </row>
    <row r="659" spans="2:13" ht="15">
      <c r="B659" s="517"/>
      <c r="C659" s="318"/>
      <c r="D659" s="318"/>
      <c r="E659" s="318"/>
      <c r="F659" s="318"/>
      <c r="G659" s="318"/>
      <c r="H659" s="318"/>
      <c r="I659" s="318"/>
      <c r="J659" s="318"/>
      <c r="K659" s="318"/>
      <c r="L659" s="318"/>
      <c r="M659" s="318"/>
    </row>
    <row r="660" spans="2:13" ht="15">
      <c r="B660" s="517"/>
      <c r="C660" s="318"/>
      <c r="D660" s="318"/>
      <c r="E660" s="318"/>
      <c r="F660" s="318"/>
      <c r="G660" s="318"/>
      <c r="H660" s="318"/>
      <c r="I660" s="318"/>
      <c r="J660" s="318"/>
      <c r="K660" s="318"/>
      <c r="L660" s="318"/>
      <c r="M660" s="318"/>
    </row>
    <row r="661" spans="2:13" ht="15">
      <c r="B661" s="517"/>
      <c r="C661" s="318"/>
      <c r="D661" s="318"/>
      <c r="E661" s="318"/>
      <c r="F661" s="318"/>
      <c r="G661" s="318"/>
      <c r="H661" s="318"/>
      <c r="I661" s="318"/>
      <c r="J661" s="318"/>
      <c r="K661" s="318"/>
      <c r="L661" s="318"/>
      <c r="M661" s="318"/>
    </row>
    <row r="662" spans="2:13" ht="15">
      <c r="B662" s="517"/>
      <c r="C662" s="318"/>
      <c r="D662" s="318"/>
      <c r="E662" s="318"/>
      <c r="F662" s="318"/>
      <c r="G662" s="318"/>
      <c r="H662" s="318"/>
      <c r="I662" s="318"/>
      <c r="J662" s="318"/>
      <c r="K662" s="318"/>
      <c r="L662" s="318"/>
      <c r="M662" s="318"/>
    </row>
    <row r="663" spans="2:13" ht="15">
      <c r="B663" s="517"/>
      <c r="C663" s="318"/>
      <c r="D663" s="318"/>
      <c r="E663" s="318"/>
      <c r="F663" s="318"/>
      <c r="G663" s="318"/>
      <c r="H663" s="318"/>
      <c r="I663" s="318"/>
      <c r="J663" s="318"/>
      <c r="K663" s="318"/>
      <c r="L663" s="318"/>
      <c r="M663" s="318"/>
    </row>
    <row r="664" spans="2:13" ht="15">
      <c r="B664" s="517"/>
      <c r="C664" s="318"/>
      <c r="D664" s="318"/>
      <c r="E664" s="318"/>
      <c r="F664" s="318"/>
      <c r="G664" s="318"/>
      <c r="H664" s="318"/>
      <c r="I664" s="318"/>
      <c r="J664" s="318"/>
      <c r="K664" s="318"/>
      <c r="L664" s="318"/>
      <c r="M664" s="318"/>
    </row>
    <row r="665" spans="2:13" ht="15">
      <c r="B665" s="517"/>
      <c r="C665" s="318"/>
      <c r="D665" s="318"/>
      <c r="E665" s="318"/>
      <c r="F665" s="318"/>
      <c r="G665" s="318"/>
      <c r="H665" s="318"/>
      <c r="I665" s="318"/>
      <c r="J665" s="318"/>
      <c r="K665" s="318"/>
      <c r="L665" s="318"/>
      <c r="M665" s="318"/>
    </row>
    <row r="666" spans="2:13" ht="15">
      <c r="B666" s="517"/>
      <c r="C666" s="318"/>
      <c r="D666" s="318"/>
      <c r="E666" s="318"/>
      <c r="F666" s="318"/>
      <c r="G666" s="318"/>
      <c r="H666" s="318"/>
      <c r="I666" s="318"/>
      <c r="J666" s="318"/>
      <c r="K666" s="318"/>
      <c r="L666" s="318"/>
      <c r="M666" s="318"/>
    </row>
    <row r="667" spans="2:13" ht="15">
      <c r="B667" s="517"/>
      <c r="C667" s="318"/>
      <c r="D667" s="318"/>
      <c r="E667" s="318"/>
      <c r="F667" s="318"/>
      <c r="G667" s="318"/>
      <c r="H667" s="318"/>
      <c r="I667" s="318"/>
      <c r="J667" s="318"/>
      <c r="K667" s="318"/>
      <c r="L667" s="318"/>
      <c r="M667" s="318"/>
    </row>
    <row r="668" spans="2:13" ht="15">
      <c r="B668" s="517"/>
      <c r="C668" s="318"/>
      <c r="D668" s="318"/>
      <c r="E668" s="318"/>
      <c r="F668" s="318"/>
      <c r="G668" s="318"/>
      <c r="H668" s="318"/>
      <c r="I668" s="318"/>
      <c r="J668" s="318"/>
      <c r="K668" s="318"/>
      <c r="L668" s="318"/>
      <c r="M668" s="318"/>
    </row>
    <row r="669" spans="2:13" ht="15">
      <c r="B669" s="517"/>
      <c r="C669" s="318"/>
      <c r="D669" s="318"/>
      <c r="E669" s="318"/>
      <c r="F669" s="318"/>
      <c r="G669" s="318"/>
      <c r="H669" s="318"/>
      <c r="I669" s="318"/>
      <c r="J669" s="318"/>
      <c r="K669" s="318"/>
      <c r="L669" s="318"/>
      <c r="M669" s="318"/>
    </row>
    <row r="670" spans="2:13" ht="15">
      <c r="B670" s="517"/>
      <c r="C670" s="318"/>
      <c r="D670" s="318"/>
      <c r="E670" s="318"/>
      <c r="F670" s="318"/>
      <c r="G670" s="318"/>
      <c r="H670" s="318"/>
      <c r="I670" s="318"/>
      <c r="J670" s="318"/>
      <c r="K670" s="318"/>
      <c r="L670" s="318"/>
      <c r="M670" s="318"/>
    </row>
    <row r="671" spans="2:13" ht="15">
      <c r="B671" s="517"/>
      <c r="C671" s="318"/>
      <c r="D671" s="318"/>
      <c r="E671" s="318"/>
      <c r="F671" s="318"/>
      <c r="G671" s="318"/>
      <c r="H671" s="318"/>
      <c r="I671" s="318"/>
      <c r="J671" s="318"/>
      <c r="K671" s="318"/>
      <c r="L671" s="318"/>
      <c r="M671" s="318"/>
    </row>
    <row r="672" spans="2:13" ht="15">
      <c r="B672" s="517"/>
      <c r="C672" s="318"/>
      <c r="D672" s="318"/>
      <c r="E672" s="318"/>
      <c r="F672" s="318"/>
      <c r="G672" s="318"/>
      <c r="H672" s="318"/>
      <c r="I672" s="318"/>
      <c r="J672" s="318"/>
      <c r="K672" s="318"/>
      <c r="L672" s="318"/>
      <c r="M672" s="318"/>
    </row>
    <row r="673" spans="2:13" ht="15">
      <c r="B673" s="517"/>
      <c r="C673" s="318"/>
      <c r="D673" s="318"/>
      <c r="E673" s="318"/>
      <c r="F673" s="318"/>
      <c r="G673" s="318"/>
      <c r="H673" s="318"/>
      <c r="I673" s="318"/>
      <c r="J673" s="318"/>
      <c r="K673" s="318"/>
      <c r="L673" s="318"/>
      <c r="M673" s="318"/>
    </row>
    <row r="674" spans="2:13" ht="15">
      <c r="B674" s="517"/>
      <c r="C674" s="318"/>
      <c r="D674" s="318"/>
      <c r="E674" s="318"/>
      <c r="F674" s="318"/>
      <c r="G674" s="318"/>
      <c r="H674" s="318"/>
      <c r="I674" s="318"/>
      <c r="J674" s="318"/>
      <c r="K674" s="318"/>
      <c r="L674" s="318"/>
      <c r="M674" s="318"/>
    </row>
    <row r="675" spans="2:13" ht="15">
      <c r="B675" s="517"/>
      <c r="C675" s="318"/>
      <c r="D675" s="318"/>
      <c r="E675" s="318"/>
      <c r="F675" s="318"/>
      <c r="G675" s="318"/>
      <c r="H675" s="318"/>
      <c r="I675" s="318"/>
      <c r="J675" s="318"/>
      <c r="K675" s="318"/>
      <c r="L675" s="318"/>
      <c r="M675" s="318"/>
    </row>
    <row r="676" spans="2:13" ht="15">
      <c r="B676" s="517"/>
      <c r="C676" s="318"/>
      <c r="D676" s="318"/>
      <c r="E676" s="318"/>
      <c r="F676" s="318"/>
      <c r="G676" s="318"/>
      <c r="H676" s="318"/>
      <c r="I676" s="318"/>
      <c r="J676" s="318"/>
      <c r="K676" s="318"/>
      <c r="L676" s="318"/>
      <c r="M676" s="318"/>
    </row>
    <row r="677" spans="2:13" ht="15">
      <c r="B677" s="517"/>
      <c r="C677" s="318"/>
      <c r="D677" s="318"/>
      <c r="E677" s="318"/>
      <c r="F677" s="318"/>
      <c r="G677" s="318"/>
      <c r="H677" s="318"/>
      <c r="I677" s="318"/>
      <c r="J677" s="318"/>
      <c r="K677" s="318"/>
      <c r="L677" s="318"/>
      <c r="M677" s="318"/>
    </row>
    <row r="678" spans="2:13" ht="15">
      <c r="B678" s="517"/>
      <c r="C678" s="318"/>
      <c r="D678" s="318"/>
      <c r="E678" s="318"/>
      <c r="F678" s="318"/>
      <c r="G678" s="318"/>
      <c r="H678" s="318"/>
      <c r="I678" s="318"/>
      <c r="J678" s="318"/>
      <c r="K678" s="318"/>
      <c r="L678" s="318"/>
      <c r="M678" s="318"/>
    </row>
    <row r="679" spans="2:13" ht="15">
      <c r="B679" s="517"/>
      <c r="C679" s="318"/>
      <c r="D679" s="318"/>
      <c r="E679" s="318"/>
      <c r="F679" s="318"/>
      <c r="G679" s="318"/>
      <c r="H679" s="318"/>
      <c r="I679" s="318"/>
      <c r="J679" s="318"/>
      <c r="K679" s="318"/>
      <c r="L679" s="318"/>
      <c r="M679" s="318"/>
    </row>
    <row r="680" spans="2:13" ht="15">
      <c r="B680" s="517"/>
      <c r="C680" s="318"/>
      <c r="D680" s="318"/>
      <c r="E680" s="318"/>
      <c r="F680" s="318"/>
      <c r="G680" s="318"/>
      <c r="H680" s="318"/>
      <c r="I680" s="318"/>
      <c r="J680" s="318"/>
      <c r="K680" s="318"/>
      <c r="L680" s="318"/>
      <c r="M680" s="318"/>
    </row>
    <row r="681" spans="2:13" ht="15">
      <c r="B681" s="517"/>
      <c r="C681" s="318"/>
      <c r="D681" s="318"/>
      <c r="E681" s="318"/>
      <c r="F681" s="318"/>
      <c r="G681" s="318"/>
      <c r="H681" s="318"/>
      <c r="I681" s="318"/>
      <c r="J681" s="318"/>
      <c r="K681" s="318"/>
      <c r="L681" s="318"/>
      <c r="M681" s="318"/>
    </row>
    <row r="682" spans="2:13" ht="15">
      <c r="B682" s="517"/>
      <c r="C682" s="318"/>
      <c r="D682" s="318"/>
      <c r="E682" s="318"/>
      <c r="F682" s="318"/>
      <c r="G682" s="318"/>
      <c r="H682" s="318"/>
      <c r="I682" s="318"/>
      <c r="J682" s="318"/>
      <c r="K682" s="318"/>
      <c r="L682" s="318"/>
      <c r="M682" s="318"/>
    </row>
    <row r="683" spans="2:13" ht="15">
      <c r="B683" s="517"/>
      <c r="C683" s="318"/>
      <c r="D683" s="318"/>
      <c r="E683" s="318"/>
      <c r="F683" s="318"/>
      <c r="G683" s="318"/>
      <c r="H683" s="318"/>
      <c r="I683" s="318"/>
      <c r="J683" s="318"/>
      <c r="K683" s="318"/>
      <c r="L683" s="318"/>
      <c r="M683" s="318"/>
    </row>
    <row r="684" spans="2:13" ht="15">
      <c r="B684" s="517"/>
      <c r="C684" s="318"/>
      <c r="D684" s="318"/>
      <c r="E684" s="318"/>
      <c r="F684" s="318"/>
      <c r="G684" s="318"/>
      <c r="H684" s="318"/>
      <c r="I684" s="318"/>
      <c r="J684" s="318"/>
      <c r="K684" s="318"/>
      <c r="L684" s="318"/>
      <c r="M684" s="318"/>
    </row>
    <row r="685" spans="2:13" ht="15">
      <c r="B685" s="517"/>
      <c r="C685" s="318"/>
      <c r="D685" s="318"/>
      <c r="E685" s="318"/>
      <c r="F685" s="318"/>
      <c r="G685" s="318"/>
      <c r="H685" s="318"/>
      <c r="I685" s="318"/>
      <c r="J685" s="318"/>
      <c r="K685" s="318"/>
      <c r="L685" s="318"/>
      <c r="M685" s="318"/>
    </row>
    <row r="686" spans="2:13" ht="15">
      <c r="B686" s="517"/>
      <c r="C686" s="318"/>
      <c r="D686" s="318"/>
      <c r="E686" s="318"/>
      <c r="F686" s="318"/>
      <c r="G686" s="318"/>
      <c r="H686" s="318"/>
      <c r="I686" s="318"/>
      <c r="J686" s="318"/>
      <c r="K686" s="318"/>
      <c r="L686" s="318"/>
      <c r="M686" s="318"/>
    </row>
    <row r="687" spans="2:13" ht="15">
      <c r="B687" s="517"/>
      <c r="C687" s="318"/>
      <c r="D687" s="318"/>
      <c r="E687" s="318"/>
      <c r="F687" s="318"/>
      <c r="G687" s="318"/>
      <c r="H687" s="318"/>
      <c r="I687" s="318"/>
      <c r="J687" s="318"/>
      <c r="K687" s="318"/>
      <c r="L687" s="318"/>
      <c r="M687" s="318"/>
    </row>
    <row r="688" spans="2:13" ht="15">
      <c r="B688" s="517"/>
      <c r="C688" s="318"/>
      <c r="D688" s="318"/>
      <c r="E688" s="318"/>
      <c r="F688" s="318"/>
      <c r="G688" s="318"/>
      <c r="H688" s="318"/>
      <c r="I688" s="318"/>
      <c r="J688" s="318"/>
      <c r="K688" s="318"/>
      <c r="L688" s="318"/>
      <c r="M688" s="318"/>
    </row>
    <row r="689" spans="2:13" ht="15">
      <c r="B689" s="517"/>
      <c r="C689" s="318"/>
      <c r="D689" s="318"/>
      <c r="E689" s="318"/>
      <c r="F689" s="318"/>
      <c r="G689" s="318"/>
      <c r="H689" s="318"/>
      <c r="I689" s="318"/>
      <c r="J689" s="318"/>
      <c r="K689" s="318"/>
      <c r="L689" s="318"/>
      <c r="M689" s="318"/>
    </row>
    <row r="690" spans="2:13" ht="15">
      <c r="B690" s="517"/>
      <c r="C690" s="318"/>
      <c r="D690" s="318"/>
      <c r="E690" s="318"/>
      <c r="F690" s="318"/>
      <c r="G690" s="318"/>
      <c r="H690" s="318"/>
      <c r="I690" s="318"/>
      <c r="J690" s="318"/>
      <c r="K690" s="318"/>
      <c r="L690" s="318"/>
      <c r="M690" s="318"/>
    </row>
    <row r="691" spans="2:13" ht="15">
      <c r="B691" s="517"/>
      <c r="C691" s="318"/>
      <c r="D691" s="318"/>
      <c r="E691" s="318"/>
      <c r="F691" s="318"/>
      <c r="G691" s="318"/>
      <c r="H691" s="318"/>
      <c r="I691" s="318"/>
      <c r="J691" s="318"/>
      <c r="K691" s="318"/>
      <c r="L691" s="318"/>
      <c r="M691" s="318"/>
    </row>
    <row r="692" spans="2:13" ht="15">
      <c r="B692" s="517"/>
      <c r="C692" s="318"/>
      <c r="D692" s="318"/>
      <c r="E692" s="318"/>
      <c r="F692" s="318"/>
      <c r="G692" s="318"/>
      <c r="H692" s="318"/>
      <c r="I692" s="318"/>
      <c r="J692" s="318"/>
      <c r="K692" s="318"/>
      <c r="L692" s="318"/>
      <c r="M692" s="318"/>
    </row>
    <row r="693" spans="2:13" ht="15">
      <c r="B693" s="517"/>
      <c r="C693" s="318"/>
      <c r="D693" s="318"/>
      <c r="E693" s="318"/>
      <c r="F693" s="318"/>
      <c r="G693" s="318"/>
      <c r="H693" s="318"/>
      <c r="I693" s="318"/>
      <c r="J693" s="318"/>
      <c r="K693" s="318"/>
      <c r="L693" s="318"/>
      <c r="M693" s="318"/>
    </row>
    <row r="694" spans="2:13" ht="15">
      <c r="B694" s="517"/>
      <c r="C694" s="318"/>
      <c r="D694" s="318"/>
      <c r="E694" s="318"/>
      <c r="F694" s="318"/>
      <c r="G694" s="318"/>
      <c r="H694" s="318"/>
      <c r="I694" s="318"/>
      <c r="J694" s="318"/>
      <c r="K694" s="318"/>
      <c r="L694" s="318"/>
      <c r="M694" s="318"/>
    </row>
    <row r="695" spans="2:13" ht="15">
      <c r="B695" s="517"/>
      <c r="C695" s="318"/>
      <c r="D695" s="318"/>
      <c r="E695" s="318"/>
      <c r="F695" s="318"/>
      <c r="G695" s="318"/>
      <c r="H695" s="318"/>
      <c r="I695" s="318"/>
      <c r="J695" s="318"/>
      <c r="K695" s="318"/>
      <c r="L695" s="318"/>
      <c r="M695" s="318"/>
    </row>
    <row r="696" spans="2:13" ht="15">
      <c r="B696" s="517"/>
      <c r="C696" s="318"/>
      <c r="D696" s="318"/>
      <c r="E696" s="318"/>
      <c r="F696" s="318"/>
      <c r="G696" s="318"/>
      <c r="H696" s="318"/>
      <c r="I696" s="318"/>
      <c r="J696" s="318"/>
      <c r="K696" s="318"/>
      <c r="L696" s="318"/>
      <c r="M696" s="318"/>
    </row>
    <row r="697" spans="2:13" ht="15">
      <c r="B697" s="517"/>
      <c r="C697" s="318"/>
      <c r="D697" s="318"/>
      <c r="E697" s="318"/>
      <c r="F697" s="318"/>
      <c r="G697" s="318"/>
      <c r="H697" s="318"/>
      <c r="I697" s="318"/>
      <c r="J697" s="318"/>
      <c r="K697" s="318"/>
      <c r="L697" s="318"/>
      <c r="M697" s="318"/>
    </row>
    <row r="698" spans="2:13" ht="15">
      <c r="B698" s="517"/>
      <c r="C698" s="318"/>
      <c r="D698" s="318"/>
      <c r="E698" s="318"/>
      <c r="F698" s="318"/>
      <c r="G698" s="318"/>
      <c r="H698" s="318"/>
      <c r="I698" s="318"/>
      <c r="J698" s="318"/>
      <c r="K698" s="318"/>
      <c r="L698" s="318"/>
      <c r="M698" s="318"/>
    </row>
    <row r="699" spans="2:13" ht="15">
      <c r="B699" s="517"/>
      <c r="C699" s="318"/>
      <c r="D699" s="318"/>
      <c r="E699" s="318"/>
      <c r="F699" s="318"/>
      <c r="G699" s="318"/>
      <c r="H699" s="318"/>
      <c r="I699" s="318"/>
      <c r="J699" s="318"/>
      <c r="K699" s="318"/>
      <c r="L699" s="318"/>
      <c r="M699" s="318"/>
    </row>
    <row r="700" spans="2:13" ht="15">
      <c r="B700" s="517"/>
      <c r="C700" s="318"/>
      <c r="D700" s="318"/>
      <c r="E700" s="318"/>
      <c r="F700" s="318"/>
      <c r="G700" s="318"/>
      <c r="H700" s="318"/>
      <c r="I700" s="318"/>
      <c r="J700" s="318"/>
      <c r="K700" s="318"/>
      <c r="L700" s="318"/>
      <c r="M700" s="318"/>
    </row>
    <row r="701" spans="2:13" ht="15">
      <c r="B701" s="517"/>
      <c r="C701" s="318"/>
      <c r="D701" s="318"/>
      <c r="E701" s="318"/>
      <c r="F701" s="318"/>
      <c r="G701" s="318"/>
      <c r="H701" s="318"/>
      <c r="I701" s="318"/>
      <c r="J701" s="318"/>
      <c r="K701" s="318"/>
      <c r="L701" s="318"/>
      <c r="M701" s="318"/>
    </row>
    <row r="702" spans="2:13" ht="15">
      <c r="B702" s="517"/>
      <c r="C702" s="318"/>
      <c r="D702" s="318"/>
      <c r="E702" s="318"/>
      <c r="F702" s="318"/>
      <c r="G702" s="318"/>
      <c r="H702" s="318"/>
      <c r="I702" s="318"/>
      <c r="J702" s="318"/>
      <c r="K702" s="318"/>
      <c r="L702" s="318"/>
      <c r="M702" s="318"/>
    </row>
    <row r="703" spans="2:13" ht="15">
      <c r="B703" s="517"/>
      <c r="C703" s="318"/>
      <c r="D703" s="318"/>
      <c r="E703" s="318"/>
      <c r="F703" s="318"/>
      <c r="G703" s="318"/>
      <c r="H703" s="318"/>
      <c r="I703" s="318"/>
      <c r="J703" s="318"/>
      <c r="K703" s="318"/>
      <c r="L703" s="318"/>
      <c r="M703" s="318"/>
    </row>
    <row r="704" spans="2:13" ht="15">
      <c r="B704" s="517"/>
      <c r="C704" s="318"/>
      <c r="D704" s="318"/>
      <c r="E704" s="318"/>
      <c r="F704" s="318"/>
      <c r="G704" s="318"/>
      <c r="H704" s="318"/>
      <c r="I704" s="318"/>
      <c r="J704" s="318"/>
      <c r="K704" s="318"/>
      <c r="L704" s="318"/>
      <c r="M704" s="318"/>
    </row>
    <row r="705" spans="2:13" ht="15">
      <c r="B705" s="517"/>
      <c r="C705" s="318"/>
      <c r="D705" s="318"/>
      <c r="E705" s="318"/>
      <c r="F705" s="318"/>
      <c r="G705" s="318"/>
      <c r="H705" s="318"/>
      <c r="I705" s="318"/>
      <c r="J705" s="318"/>
      <c r="K705" s="318"/>
      <c r="L705" s="318"/>
      <c r="M705" s="318"/>
    </row>
    <row r="706" spans="2:13" ht="15">
      <c r="B706" s="517"/>
      <c r="C706" s="318"/>
      <c r="D706" s="318"/>
      <c r="E706" s="318"/>
      <c r="F706" s="318"/>
      <c r="G706" s="318"/>
      <c r="H706" s="318"/>
      <c r="I706" s="318"/>
      <c r="J706" s="318"/>
      <c r="K706" s="318"/>
      <c r="L706" s="318"/>
      <c r="M706" s="318"/>
    </row>
    <row r="707" spans="2:13" ht="15">
      <c r="B707" s="517"/>
      <c r="C707" s="318"/>
      <c r="D707" s="318"/>
      <c r="E707" s="318"/>
      <c r="F707" s="318"/>
      <c r="G707" s="318"/>
      <c r="H707" s="318"/>
      <c r="I707" s="318"/>
      <c r="J707" s="318"/>
      <c r="K707" s="318"/>
      <c r="L707" s="318"/>
      <c r="M707" s="318"/>
    </row>
    <row r="708" spans="2:13" ht="15">
      <c r="B708" s="517"/>
      <c r="C708" s="318"/>
      <c r="D708" s="318"/>
      <c r="E708" s="318"/>
      <c r="F708" s="318"/>
      <c r="G708" s="318"/>
      <c r="H708" s="318"/>
      <c r="I708" s="318"/>
      <c r="J708" s="318"/>
      <c r="K708" s="318"/>
      <c r="L708" s="318"/>
      <c r="M708" s="318"/>
    </row>
    <row r="709" spans="2:13" ht="15">
      <c r="B709" s="517"/>
      <c r="C709" s="318"/>
      <c r="D709" s="318"/>
      <c r="E709" s="318"/>
      <c r="F709" s="318"/>
      <c r="G709" s="318"/>
      <c r="H709" s="318"/>
      <c r="I709" s="318"/>
      <c r="J709" s="318"/>
      <c r="K709" s="318"/>
      <c r="L709" s="318"/>
      <c r="M709" s="318"/>
    </row>
    <row r="710" spans="2:13" ht="15">
      <c r="B710" s="517"/>
      <c r="C710" s="318"/>
      <c r="D710" s="318"/>
      <c r="E710" s="318"/>
      <c r="F710" s="318"/>
      <c r="G710" s="318"/>
      <c r="H710" s="318"/>
      <c r="I710" s="318"/>
      <c r="J710" s="318"/>
      <c r="K710" s="318"/>
      <c r="L710" s="318"/>
      <c r="M710" s="318"/>
    </row>
    <row r="711" spans="2:13" ht="15">
      <c r="B711" s="517"/>
      <c r="C711" s="318"/>
      <c r="D711" s="318"/>
      <c r="E711" s="318"/>
      <c r="F711" s="318"/>
      <c r="G711" s="318"/>
      <c r="H711" s="318"/>
      <c r="I711" s="318"/>
      <c r="J711" s="318"/>
      <c r="K711" s="318"/>
      <c r="L711" s="318"/>
      <c r="M711" s="318"/>
    </row>
    <row r="712" spans="2:13" ht="15">
      <c r="B712" s="517"/>
      <c r="C712" s="318"/>
      <c r="D712" s="318"/>
      <c r="E712" s="318"/>
      <c r="F712" s="318"/>
      <c r="G712" s="318"/>
      <c r="H712" s="318"/>
      <c r="I712" s="318"/>
      <c r="J712" s="318"/>
      <c r="K712" s="318"/>
      <c r="L712" s="318"/>
      <c r="M712" s="318"/>
    </row>
    <row r="713" spans="2:13" ht="15">
      <c r="B713" s="517"/>
      <c r="C713" s="318"/>
      <c r="D713" s="318"/>
      <c r="E713" s="318"/>
      <c r="F713" s="318"/>
      <c r="G713" s="318"/>
      <c r="H713" s="318"/>
      <c r="I713" s="318"/>
      <c r="J713" s="318"/>
      <c r="K713" s="318"/>
      <c r="L713" s="318"/>
      <c r="M713" s="318"/>
    </row>
    <row r="714" spans="2:13" ht="15">
      <c r="B714" s="517"/>
      <c r="C714" s="318"/>
      <c r="D714" s="318"/>
      <c r="E714" s="318"/>
      <c r="F714" s="318"/>
      <c r="G714" s="318"/>
      <c r="H714" s="318"/>
      <c r="I714" s="318"/>
      <c r="J714" s="318"/>
      <c r="K714" s="318"/>
      <c r="L714" s="318"/>
      <c r="M714" s="318"/>
    </row>
    <row r="715" spans="2:13" ht="15">
      <c r="B715" s="517"/>
      <c r="C715" s="318"/>
      <c r="D715" s="318"/>
      <c r="E715" s="318"/>
      <c r="F715" s="318"/>
      <c r="G715" s="318"/>
      <c r="H715" s="318"/>
      <c r="I715" s="318"/>
      <c r="J715" s="318"/>
      <c r="K715" s="318"/>
      <c r="L715" s="318"/>
      <c r="M715" s="318"/>
    </row>
    <row r="716" spans="2:13" ht="15">
      <c r="B716" s="517"/>
      <c r="C716" s="318"/>
      <c r="D716" s="318"/>
      <c r="E716" s="318"/>
      <c r="F716" s="318"/>
      <c r="G716" s="318"/>
      <c r="H716" s="318"/>
      <c r="I716" s="318"/>
      <c r="J716" s="318"/>
      <c r="K716" s="318"/>
      <c r="L716" s="318"/>
      <c r="M716" s="318"/>
    </row>
    <row r="717" spans="2:13" ht="15">
      <c r="B717" s="517"/>
      <c r="C717" s="318"/>
      <c r="D717" s="318"/>
      <c r="E717" s="318"/>
      <c r="F717" s="318"/>
      <c r="G717" s="318"/>
      <c r="H717" s="318"/>
      <c r="I717" s="318"/>
      <c r="J717" s="318"/>
      <c r="K717" s="318"/>
      <c r="L717" s="318"/>
      <c r="M717" s="318"/>
    </row>
    <row r="718" spans="2:13" ht="15">
      <c r="B718" s="517"/>
      <c r="C718" s="318"/>
      <c r="D718" s="318"/>
      <c r="E718" s="318"/>
      <c r="F718" s="318"/>
      <c r="G718" s="318"/>
      <c r="H718" s="318"/>
      <c r="I718" s="318"/>
      <c r="J718" s="318"/>
      <c r="K718" s="318"/>
      <c r="L718" s="318"/>
      <c r="M718" s="318"/>
    </row>
    <row r="719" spans="2:13" ht="15">
      <c r="B719" s="517"/>
      <c r="C719" s="318"/>
      <c r="D719" s="318"/>
      <c r="E719" s="318"/>
      <c r="F719" s="318"/>
      <c r="G719" s="318"/>
      <c r="H719" s="318"/>
      <c r="I719" s="318"/>
      <c r="J719" s="318"/>
      <c r="K719" s="318"/>
      <c r="L719" s="318"/>
      <c r="M719" s="318"/>
    </row>
    <row r="720" spans="2:13" ht="15">
      <c r="B720" s="517"/>
      <c r="C720" s="318"/>
      <c r="D720" s="318"/>
      <c r="E720" s="318"/>
      <c r="F720" s="318"/>
      <c r="G720" s="318"/>
      <c r="H720" s="318"/>
      <c r="I720" s="318"/>
      <c r="J720" s="318"/>
      <c r="K720" s="318"/>
      <c r="L720" s="318"/>
      <c r="M720" s="318"/>
    </row>
    <row r="721" spans="2:13" ht="15">
      <c r="B721" s="517"/>
      <c r="C721" s="318"/>
      <c r="D721" s="318"/>
      <c r="E721" s="318"/>
      <c r="F721" s="318"/>
      <c r="G721" s="318"/>
      <c r="H721" s="318"/>
      <c r="I721" s="318"/>
      <c r="J721" s="318"/>
      <c r="K721" s="318"/>
      <c r="L721" s="318"/>
      <c r="M721" s="318"/>
    </row>
    <row r="722" spans="2:13" ht="15">
      <c r="B722" s="517"/>
      <c r="C722" s="318"/>
      <c r="D722" s="318"/>
      <c r="E722" s="318"/>
      <c r="F722" s="318"/>
      <c r="G722" s="318"/>
      <c r="H722" s="318"/>
      <c r="I722" s="318"/>
      <c r="J722" s="318"/>
      <c r="K722" s="318"/>
      <c r="L722" s="318"/>
      <c r="M722" s="318"/>
    </row>
    <row r="723" spans="2:13" ht="15">
      <c r="B723" s="517"/>
      <c r="C723" s="318"/>
      <c r="D723" s="318"/>
      <c r="E723" s="318"/>
      <c r="F723" s="318"/>
      <c r="G723" s="318"/>
      <c r="H723" s="318"/>
      <c r="I723" s="318"/>
      <c r="J723" s="318"/>
      <c r="K723" s="318"/>
      <c r="L723" s="318"/>
      <c r="M723" s="318"/>
    </row>
    <row r="724" spans="2:13" ht="15">
      <c r="B724" s="517"/>
      <c r="C724" s="318"/>
      <c r="D724" s="318"/>
      <c r="E724" s="318"/>
      <c r="F724" s="318"/>
      <c r="G724" s="318"/>
      <c r="H724" s="318"/>
      <c r="I724" s="318"/>
      <c r="J724" s="318"/>
      <c r="K724" s="318"/>
      <c r="L724" s="318"/>
      <c r="M724" s="318"/>
    </row>
    <row r="725" spans="2:13" ht="15">
      <c r="B725" s="517"/>
      <c r="C725" s="318"/>
      <c r="D725" s="318"/>
      <c r="E725" s="318"/>
      <c r="F725" s="318"/>
      <c r="G725" s="318"/>
      <c r="H725" s="318"/>
      <c r="I725" s="318"/>
      <c r="J725" s="318"/>
      <c r="K725" s="318"/>
      <c r="L725" s="318"/>
      <c r="M725" s="318"/>
    </row>
    <row r="726" spans="2:13" ht="15">
      <c r="B726" s="517"/>
      <c r="C726" s="318"/>
      <c r="D726" s="318"/>
      <c r="E726" s="318"/>
      <c r="F726" s="318"/>
      <c r="G726" s="318"/>
      <c r="H726" s="318"/>
      <c r="I726" s="318"/>
      <c r="J726" s="318"/>
      <c r="K726" s="318"/>
      <c r="L726" s="318"/>
      <c r="M726" s="318"/>
    </row>
    <row r="727" spans="2:13" ht="15">
      <c r="B727" s="517"/>
      <c r="C727" s="318"/>
      <c r="D727" s="318"/>
      <c r="E727" s="318"/>
      <c r="F727" s="318"/>
      <c r="G727" s="318"/>
      <c r="H727" s="318"/>
      <c r="I727" s="318"/>
      <c r="J727" s="318"/>
      <c r="K727" s="318"/>
      <c r="L727" s="318"/>
      <c r="M727" s="318"/>
    </row>
    <row r="728" spans="2:13" ht="15">
      <c r="B728" s="517"/>
      <c r="C728" s="318"/>
      <c r="D728" s="318"/>
      <c r="E728" s="318"/>
      <c r="F728" s="318"/>
      <c r="G728" s="318"/>
      <c r="H728" s="318"/>
      <c r="I728" s="318"/>
      <c r="J728" s="318"/>
      <c r="K728" s="318"/>
      <c r="L728" s="318"/>
      <c r="M728" s="318"/>
    </row>
    <row r="729" spans="2:13" ht="15">
      <c r="B729" s="517"/>
      <c r="C729" s="318"/>
      <c r="D729" s="318"/>
      <c r="E729" s="318"/>
      <c r="F729" s="318"/>
      <c r="G729" s="318"/>
      <c r="H729" s="318"/>
      <c r="I729" s="318"/>
      <c r="J729" s="318"/>
      <c r="K729" s="318"/>
      <c r="L729" s="318"/>
      <c r="M729" s="318"/>
    </row>
    <row r="730" spans="2:13" ht="15">
      <c r="B730" s="517"/>
      <c r="C730" s="318"/>
      <c r="D730" s="318"/>
      <c r="E730" s="318"/>
      <c r="F730" s="318"/>
      <c r="G730" s="318"/>
      <c r="H730" s="318"/>
      <c r="I730" s="318"/>
      <c r="J730" s="318"/>
      <c r="K730" s="318"/>
      <c r="L730" s="318"/>
      <c r="M730" s="318"/>
    </row>
    <row r="731" spans="2:13" ht="15">
      <c r="B731" s="517"/>
      <c r="C731" s="318"/>
      <c r="D731" s="318"/>
      <c r="E731" s="318"/>
      <c r="F731" s="318"/>
      <c r="G731" s="318"/>
      <c r="H731" s="318"/>
      <c r="I731" s="318"/>
      <c r="J731" s="318"/>
      <c r="K731" s="318"/>
      <c r="L731" s="318"/>
      <c r="M731" s="318"/>
    </row>
    <row r="732" spans="2:13" ht="15">
      <c r="B732" s="517"/>
      <c r="C732" s="318"/>
      <c r="D732" s="318"/>
      <c r="E732" s="318"/>
      <c r="F732" s="318"/>
      <c r="G732" s="318"/>
      <c r="H732" s="318"/>
      <c r="I732" s="318"/>
      <c r="J732" s="318"/>
      <c r="K732" s="318"/>
      <c r="L732" s="318"/>
      <c r="M732" s="318"/>
    </row>
    <row r="733" spans="2:13" ht="15">
      <c r="B733" s="517"/>
      <c r="C733" s="318"/>
      <c r="D733" s="318"/>
      <c r="E733" s="318"/>
      <c r="F733" s="318"/>
      <c r="G733" s="318"/>
      <c r="H733" s="318"/>
      <c r="I733" s="318"/>
      <c r="J733" s="318"/>
      <c r="K733" s="318"/>
      <c r="L733" s="318"/>
      <c r="M733" s="318"/>
    </row>
    <row r="734" spans="2:13" ht="15">
      <c r="B734" s="517"/>
      <c r="C734" s="318"/>
      <c r="D734" s="318"/>
      <c r="E734" s="318"/>
      <c r="F734" s="318"/>
      <c r="G734" s="318"/>
      <c r="H734" s="318"/>
      <c r="I734" s="318"/>
      <c r="J734" s="318"/>
      <c r="K734" s="318"/>
      <c r="L734" s="318"/>
      <c r="M734" s="318"/>
    </row>
    <row r="735" spans="2:13" ht="15">
      <c r="B735" s="517"/>
      <c r="C735" s="318"/>
      <c r="D735" s="318"/>
      <c r="E735" s="318"/>
      <c r="F735" s="318"/>
      <c r="G735" s="318"/>
      <c r="H735" s="318"/>
      <c r="I735" s="318"/>
      <c r="J735" s="318"/>
      <c r="K735" s="318"/>
      <c r="L735" s="318"/>
      <c r="M735" s="318"/>
    </row>
    <row r="736" spans="2:13" ht="15">
      <c r="B736" s="517"/>
      <c r="C736" s="318"/>
      <c r="D736" s="318"/>
      <c r="E736" s="318"/>
      <c r="F736" s="318"/>
      <c r="G736" s="318"/>
      <c r="H736" s="318"/>
      <c r="I736" s="318"/>
      <c r="J736" s="318"/>
      <c r="K736" s="318"/>
      <c r="L736" s="318"/>
      <c r="M736" s="318"/>
    </row>
    <row r="737" spans="2:13" ht="15">
      <c r="B737" s="517"/>
      <c r="C737" s="318"/>
      <c r="D737" s="318"/>
      <c r="E737" s="318"/>
      <c r="F737" s="318"/>
      <c r="G737" s="318"/>
      <c r="H737" s="318"/>
      <c r="I737" s="318"/>
      <c r="J737" s="318"/>
      <c r="K737" s="318"/>
      <c r="L737" s="318"/>
      <c r="M737" s="318"/>
    </row>
    <row r="738" spans="2:13" ht="15">
      <c r="B738" s="517"/>
      <c r="C738" s="318"/>
      <c r="D738" s="318"/>
      <c r="E738" s="318"/>
      <c r="F738" s="318"/>
      <c r="G738" s="318"/>
      <c r="H738" s="318"/>
      <c r="I738" s="318"/>
      <c r="J738" s="318"/>
      <c r="K738" s="318"/>
      <c r="L738" s="318"/>
      <c r="M738" s="318"/>
    </row>
    <row r="739" spans="2:13" ht="15">
      <c r="B739" s="517"/>
      <c r="C739" s="318"/>
      <c r="D739" s="318"/>
      <c r="E739" s="318"/>
      <c r="F739" s="318"/>
      <c r="G739" s="318"/>
      <c r="H739" s="318"/>
      <c r="I739" s="318"/>
      <c r="J739" s="318"/>
      <c r="K739" s="318"/>
      <c r="L739" s="318"/>
      <c r="M739" s="318"/>
    </row>
    <row r="740" spans="2:13" ht="15">
      <c r="B740" s="517"/>
      <c r="C740" s="318"/>
      <c r="D740" s="318"/>
      <c r="E740" s="318"/>
      <c r="F740" s="318"/>
      <c r="G740" s="318"/>
      <c r="H740" s="318"/>
      <c r="I740" s="318"/>
      <c r="J740" s="318"/>
      <c r="K740" s="318"/>
      <c r="L740" s="318"/>
      <c r="M740" s="318"/>
    </row>
    <row r="741" spans="2:13" ht="15">
      <c r="B741" s="517"/>
      <c r="C741" s="318"/>
      <c r="D741" s="318"/>
      <c r="E741" s="318"/>
      <c r="F741" s="318"/>
      <c r="G741" s="318"/>
      <c r="H741" s="318"/>
      <c r="I741" s="318"/>
      <c r="J741" s="318"/>
      <c r="K741" s="318"/>
      <c r="L741" s="318"/>
      <c r="M741" s="318"/>
    </row>
    <row r="742" spans="2:13" ht="15">
      <c r="B742" s="517"/>
      <c r="C742" s="318"/>
      <c r="D742" s="318"/>
      <c r="E742" s="318"/>
      <c r="F742" s="318"/>
      <c r="G742" s="318"/>
      <c r="H742" s="318"/>
      <c r="I742" s="318"/>
      <c r="J742" s="318"/>
      <c r="K742" s="318"/>
      <c r="L742" s="318"/>
      <c r="M742" s="318"/>
    </row>
    <row r="743" spans="2:13" ht="15">
      <c r="B743" s="517"/>
      <c r="C743" s="318"/>
      <c r="D743" s="318"/>
      <c r="E743" s="318"/>
      <c r="F743" s="318"/>
      <c r="G743" s="318"/>
      <c r="H743" s="318"/>
      <c r="I743" s="318"/>
      <c r="J743" s="318"/>
      <c r="K743" s="318"/>
      <c r="L743" s="318"/>
      <c r="M743" s="318"/>
    </row>
    <row r="744" spans="2:13" ht="15">
      <c r="B744" s="517"/>
      <c r="C744" s="318"/>
      <c r="D744" s="318"/>
      <c r="E744" s="318"/>
      <c r="F744" s="318"/>
      <c r="G744" s="318"/>
      <c r="H744" s="318"/>
      <c r="I744" s="318"/>
      <c r="J744" s="318"/>
      <c r="K744" s="318"/>
      <c r="L744" s="318"/>
      <c r="M744" s="318"/>
    </row>
    <row r="745" spans="2:13" ht="15">
      <c r="B745" s="517"/>
      <c r="C745" s="318"/>
      <c r="D745" s="318"/>
      <c r="E745" s="318"/>
      <c r="F745" s="318"/>
      <c r="G745" s="318"/>
      <c r="H745" s="318"/>
      <c r="I745" s="318"/>
      <c r="J745" s="318"/>
      <c r="K745" s="318"/>
      <c r="L745" s="318"/>
      <c r="M745" s="318"/>
    </row>
    <row r="746" spans="2:13" ht="15">
      <c r="B746" s="517"/>
      <c r="C746" s="318"/>
      <c r="D746" s="318"/>
      <c r="E746" s="318"/>
      <c r="F746" s="318"/>
      <c r="G746" s="318"/>
      <c r="H746" s="318"/>
      <c r="I746" s="318"/>
      <c r="J746" s="318"/>
      <c r="K746" s="318"/>
      <c r="L746" s="318"/>
      <c r="M746" s="318"/>
    </row>
    <row r="747" spans="2:13" ht="15">
      <c r="B747" s="517"/>
      <c r="C747" s="318"/>
      <c r="D747" s="318"/>
      <c r="E747" s="318"/>
      <c r="F747" s="318"/>
      <c r="G747" s="318"/>
      <c r="H747" s="318"/>
      <c r="I747" s="318"/>
      <c r="J747" s="318"/>
      <c r="K747" s="318"/>
      <c r="L747" s="318"/>
      <c r="M747" s="318"/>
    </row>
    <row r="748" spans="2:13" ht="15">
      <c r="B748" s="517"/>
      <c r="C748" s="318"/>
      <c r="D748" s="318"/>
      <c r="E748" s="318"/>
      <c r="F748" s="318"/>
      <c r="G748" s="318"/>
      <c r="H748" s="318"/>
      <c r="I748" s="318"/>
      <c r="J748" s="318"/>
      <c r="K748" s="318"/>
      <c r="L748" s="318"/>
      <c r="M748" s="318"/>
    </row>
    <row r="749" spans="2:13" ht="15">
      <c r="B749" s="517"/>
      <c r="C749" s="318"/>
      <c r="D749" s="318"/>
      <c r="E749" s="318"/>
      <c r="F749" s="318"/>
      <c r="G749" s="318"/>
      <c r="H749" s="318"/>
      <c r="I749" s="318"/>
      <c r="J749" s="318"/>
      <c r="K749" s="318"/>
      <c r="L749" s="318"/>
      <c r="M749" s="318"/>
    </row>
    <row r="750" spans="2:13" ht="15">
      <c r="B750" s="517"/>
      <c r="C750" s="318"/>
      <c r="D750" s="318"/>
      <c r="E750" s="318"/>
      <c r="F750" s="318"/>
      <c r="G750" s="318"/>
      <c r="H750" s="318"/>
      <c r="I750" s="318"/>
      <c r="J750" s="318"/>
      <c r="K750" s="318"/>
      <c r="L750" s="318"/>
      <c r="M750" s="318"/>
    </row>
    <row r="751" spans="2:13" ht="15">
      <c r="B751" s="517"/>
      <c r="C751" s="318"/>
      <c r="D751" s="318"/>
      <c r="E751" s="318"/>
      <c r="F751" s="318"/>
      <c r="G751" s="318"/>
      <c r="H751" s="318"/>
      <c r="I751" s="318"/>
      <c r="J751" s="318"/>
      <c r="K751" s="318"/>
      <c r="L751" s="318"/>
      <c r="M751" s="318"/>
    </row>
    <row r="752" spans="2:13" ht="15">
      <c r="B752" s="517"/>
      <c r="C752" s="318"/>
      <c r="D752" s="318"/>
      <c r="E752" s="318"/>
      <c r="F752" s="318"/>
      <c r="G752" s="318"/>
      <c r="H752" s="318"/>
      <c r="I752" s="318"/>
      <c r="J752" s="318"/>
      <c r="K752" s="318"/>
      <c r="L752" s="318"/>
      <c r="M752" s="318"/>
    </row>
    <row r="753" spans="2:13" ht="15">
      <c r="B753" s="517"/>
      <c r="C753" s="318"/>
      <c r="D753" s="318"/>
      <c r="E753" s="318"/>
      <c r="F753" s="318"/>
      <c r="G753" s="318"/>
      <c r="H753" s="318"/>
      <c r="I753" s="318"/>
      <c r="J753" s="318"/>
      <c r="K753" s="318"/>
      <c r="L753" s="318"/>
      <c r="M753" s="318"/>
    </row>
    <row r="754" spans="2:13" ht="15">
      <c r="B754" s="517"/>
      <c r="C754" s="318"/>
      <c r="D754" s="318"/>
      <c r="E754" s="318"/>
      <c r="F754" s="318"/>
      <c r="G754" s="318"/>
      <c r="H754" s="318"/>
      <c r="I754" s="318"/>
      <c r="J754" s="318"/>
      <c r="K754" s="318"/>
      <c r="L754" s="318"/>
      <c r="M754" s="318"/>
    </row>
    <row r="755" spans="2:13" ht="15">
      <c r="B755" s="517"/>
      <c r="C755" s="318"/>
      <c r="D755" s="318"/>
      <c r="E755" s="318"/>
      <c r="F755" s="318"/>
      <c r="G755" s="318"/>
      <c r="H755" s="318"/>
      <c r="I755" s="318"/>
      <c r="J755" s="318"/>
      <c r="K755" s="318"/>
      <c r="L755" s="318"/>
      <c r="M755" s="318"/>
    </row>
    <row r="756" spans="2:13" ht="15">
      <c r="B756" s="517"/>
      <c r="C756" s="318"/>
      <c r="D756" s="318"/>
      <c r="E756" s="318"/>
      <c r="F756" s="318"/>
      <c r="G756" s="318"/>
      <c r="H756" s="318"/>
      <c r="I756" s="318"/>
      <c r="J756" s="318"/>
      <c r="K756" s="318"/>
      <c r="L756" s="318"/>
      <c r="M756" s="318"/>
    </row>
    <row r="757" spans="2:13" ht="15">
      <c r="B757" s="517"/>
      <c r="C757" s="318"/>
      <c r="D757" s="318"/>
      <c r="E757" s="318"/>
      <c r="F757" s="318"/>
      <c r="G757" s="318"/>
      <c r="H757" s="318"/>
      <c r="I757" s="318"/>
      <c r="J757" s="318"/>
      <c r="K757" s="318"/>
      <c r="L757" s="318"/>
      <c r="M757" s="318"/>
    </row>
    <row r="758" spans="2:13" ht="15">
      <c r="B758" s="517"/>
      <c r="C758" s="318"/>
      <c r="D758" s="318"/>
      <c r="E758" s="318"/>
      <c r="F758" s="318"/>
      <c r="G758" s="318"/>
      <c r="H758" s="318"/>
      <c r="I758" s="318"/>
      <c r="J758" s="318"/>
      <c r="K758" s="318"/>
      <c r="L758" s="318"/>
      <c r="M758" s="318"/>
    </row>
    <row r="759" spans="2:13" ht="15">
      <c r="B759" s="517"/>
      <c r="C759" s="318"/>
      <c r="D759" s="318"/>
      <c r="E759" s="318"/>
      <c r="F759" s="318"/>
      <c r="G759" s="318"/>
      <c r="H759" s="318"/>
      <c r="I759" s="318"/>
      <c r="J759" s="318"/>
      <c r="K759" s="318"/>
      <c r="L759" s="318"/>
      <c r="M759" s="318"/>
    </row>
    <row r="760" spans="2:13" ht="15">
      <c r="B760" s="517"/>
      <c r="C760" s="318"/>
      <c r="D760" s="318"/>
      <c r="E760" s="318"/>
      <c r="F760" s="318"/>
      <c r="G760" s="318"/>
      <c r="H760" s="318"/>
      <c r="I760" s="318"/>
      <c r="J760" s="318"/>
      <c r="K760" s="318"/>
      <c r="L760" s="318"/>
      <c r="M760" s="318"/>
    </row>
    <row r="761" spans="2:13" ht="15">
      <c r="B761" s="517"/>
      <c r="C761" s="318"/>
      <c r="D761" s="318"/>
      <c r="E761" s="318"/>
      <c r="F761" s="318"/>
      <c r="G761" s="318"/>
      <c r="H761" s="318"/>
      <c r="I761" s="318"/>
      <c r="J761" s="318"/>
      <c r="K761" s="318"/>
      <c r="L761" s="318"/>
      <c r="M761" s="318"/>
    </row>
    <row r="762" spans="2:13" ht="15">
      <c r="B762" s="517"/>
      <c r="C762" s="318"/>
      <c r="D762" s="318"/>
      <c r="E762" s="318"/>
      <c r="F762" s="318"/>
      <c r="G762" s="318"/>
      <c r="H762" s="318"/>
      <c r="I762" s="318"/>
      <c r="J762" s="318"/>
      <c r="K762" s="318"/>
      <c r="L762" s="318"/>
      <c r="M762" s="318"/>
    </row>
    <row r="763" spans="2:13" ht="15">
      <c r="B763" s="517"/>
      <c r="C763" s="318"/>
      <c r="D763" s="318"/>
      <c r="E763" s="318"/>
      <c r="F763" s="318"/>
      <c r="G763" s="318"/>
      <c r="H763" s="318"/>
      <c r="I763" s="318"/>
      <c r="J763" s="318"/>
      <c r="K763" s="318"/>
      <c r="L763" s="318"/>
      <c r="M763" s="318"/>
    </row>
    <row r="764" spans="2:13" ht="15">
      <c r="B764" s="517"/>
      <c r="C764" s="318"/>
      <c r="D764" s="318"/>
      <c r="E764" s="318"/>
      <c r="F764" s="318"/>
      <c r="G764" s="318"/>
      <c r="H764" s="318"/>
      <c r="I764" s="318"/>
      <c r="J764" s="318"/>
      <c r="K764" s="318"/>
      <c r="L764" s="318"/>
      <c r="M764" s="318"/>
    </row>
    <row r="765" spans="2:13" ht="15">
      <c r="B765" s="517"/>
      <c r="C765" s="318"/>
      <c r="D765" s="318"/>
      <c r="E765" s="318"/>
      <c r="F765" s="318"/>
      <c r="G765" s="318"/>
      <c r="H765" s="318"/>
      <c r="I765" s="318"/>
      <c r="J765" s="318"/>
      <c r="K765" s="318"/>
      <c r="L765" s="318"/>
      <c r="M765" s="318"/>
    </row>
    <row r="766" spans="2:13" ht="15">
      <c r="B766" s="517"/>
      <c r="C766" s="318"/>
      <c r="D766" s="318"/>
      <c r="E766" s="318"/>
      <c r="F766" s="318"/>
      <c r="G766" s="318"/>
      <c r="H766" s="318"/>
      <c r="I766" s="318"/>
      <c r="J766" s="318"/>
      <c r="K766" s="318"/>
      <c r="L766" s="318"/>
      <c r="M766" s="318"/>
    </row>
    <row r="767" spans="2:13" ht="15">
      <c r="B767" s="517"/>
      <c r="C767" s="318"/>
      <c r="D767" s="318"/>
      <c r="E767" s="318"/>
      <c r="F767" s="318"/>
      <c r="G767" s="318"/>
      <c r="H767" s="318"/>
      <c r="I767" s="318"/>
      <c r="J767" s="318"/>
      <c r="K767" s="318"/>
      <c r="L767" s="318"/>
      <c r="M767" s="318"/>
    </row>
    <row r="768" spans="2:13" ht="15">
      <c r="B768" s="517"/>
      <c r="C768" s="318"/>
      <c r="D768" s="318"/>
      <c r="E768" s="318"/>
      <c r="F768" s="318"/>
      <c r="G768" s="318"/>
      <c r="H768" s="318"/>
      <c r="I768" s="318"/>
      <c r="J768" s="318"/>
      <c r="K768" s="318"/>
      <c r="L768" s="318"/>
      <c r="M768" s="318"/>
    </row>
    <row r="769" spans="2:13" ht="15">
      <c r="B769" s="517"/>
      <c r="C769" s="318"/>
      <c r="D769" s="318"/>
      <c r="E769" s="318"/>
      <c r="F769" s="318"/>
      <c r="G769" s="318"/>
      <c r="H769" s="318"/>
      <c r="I769" s="318"/>
      <c r="J769" s="318"/>
      <c r="K769" s="318"/>
      <c r="L769" s="318"/>
      <c r="M769" s="318"/>
    </row>
    <row r="770" spans="2:13" ht="15">
      <c r="B770" s="517"/>
      <c r="C770" s="318"/>
      <c r="D770" s="318"/>
      <c r="E770" s="318"/>
      <c r="F770" s="318"/>
      <c r="G770" s="318"/>
      <c r="H770" s="318"/>
      <c r="I770" s="318"/>
      <c r="J770" s="318"/>
      <c r="K770" s="318"/>
      <c r="L770" s="318"/>
      <c r="M770" s="318"/>
    </row>
    <row r="771" spans="2:13" ht="15">
      <c r="B771" s="517"/>
      <c r="C771" s="318"/>
      <c r="D771" s="318"/>
      <c r="E771" s="318"/>
      <c r="F771" s="318"/>
      <c r="G771" s="318"/>
      <c r="H771" s="318"/>
      <c r="I771" s="318"/>
      <c r="J771" s="318"/>
      <c r="K771" s="318"/>
      <c r="L771" s="318"/>
      <c r="M771" s="318"/>
    </row>
    <row r="772" spans="2:13" ht="15">
      <c r="B772" s="517"/>
      <c r="C772" s="318"/>
      <c r="D772" s="318"/>
      <c r="E772" s="318"/>
      <c r="F772" s="318"/>
      <c r="G772" s="318"/>
      <c r="H772" s="318"/>
      <c r="I772" s="318"/>
      <c r="J772" s="318"/>
      <c r="K772" s="318"/>
      <c r="L772" s="318"/>
      <c r="M772" s="318"/>
    </row>
    <row r="773" spans="2:13" ht="15">
      <c r="B773" s="517"/>
      <c r="C773" s="318"/>
      <c r="D773" s="318"/>
      <c r="E773" s="318"/>
      <c r="F773" s="318"/>
      <c r="G773" s="318"/>
      <c r="H773" s="318"/>
      <c r="I773" s="318"/>
      <c r="J773" s="318"/>
      <c r="K773" s="318"/>
      <c r="L773" s="318"/>
      <c r="M773" s="318"/>
    </row>
    <row r="774" spans="2:13" ht="15">
      <c r="B774" s="517"/>
      <c r="C774" s="318"/>
      <c r="D774" s="318"/>
      <c r="E774" s="318"/>
      <c r="F774" s="318"/>
      <c r="G774" s="318"/>
      <c r="H774" s="318"/>
      <c r="I774" s="318"/>
      <c r="J774" s="318"/>
      <c r="K774" s="318"/>
      <c r="L774" s="318"/>
      <c r="M774" s="318"/>
    </row>
    <row r="775" spans="2:13" ht="15">
      <c r="B775" s="517"/>
      <c r="C775" s="318"/>
      <c r="D775" s="318"/>
      <c r="E775" s="318"/>
      <c r="F775" s="318"/>
      <c r="G775" s="318"/>
      <c r="H775" s="318"/>
      <c r="I775" s="318"/>
      <c r="J775" s="318"/>
      <c r="K775" s="318"/>
      <c r="L775" s="318"/>
      <c r="M775" s="318"/>
    </row>
    <row r="776" spans="2:13" ht="15">
      <c r="B776" s="517"/>
      <c r="C776" s="318"/>
      <c r="D776" s="318"/>
      <c r="E776" s="318"/>
      <c r="F776" s="318"/>
      <c r="G776" s="318"/>
      <c r="H776" s="318"/>
      <c r="I776" s="318"/>
      <c r="J776" s="318"/>
      <c r="K776" s="318"/>
      <c r="L776" s="318"/>
      <c r="M776" s="318"/>
    </row>
    <row r="777" spans="2:13" ht="15">
      <c r="B777" s="517"/>
      <c r="C777" s="318"/>
      <c r="D777" s="318"/>
      <c r="E777" s="318"/>
      <c r="F777" s="318"/>
      <c r="G777" s="318"/>
      <c r="H777" s="318"/>
      <c r="I777" s="318"/>
      <c r="J777" s="318"/>
      <c r="K777" s="318"/>
      <c r="L777" s="318"/>
      <c r="M777" s="318"/>
    </row>
    <row r="778" spans="2:13" ht="15">
      <c r="B778" s="517"/>
      <c r="C778" s="318"/>
      <c r="D778" s="318"/>
      <c r="E778" s="318"/>
      <c r="F778" s="318"/>
      <c r="G778" s="318"/>
      <c r="H778" s="318"/>
      <c r="I778" s="318"/>
      <c r="J778" s="318"/>
      <c r="K778" s="318"/>
      <c r="L778" s="318"/>
      <c r="M778" s="318"/>
    </row>
    <row r="779" spans="2:13" ht="15">
      <c r="B779" s="517"/>
      <c r="C779" s="318"/>
      <c r="D779" s="318"/>
      <c r="E779" s="318"/>
      <c r="F779" s="318"/>
      <c r="G779" s="318"/>
      <c r="H779" s="318"/>
      <c r="I779" s="318"/>
      <c r="J779" s="318"/>
      <c r="K779" s="318"/>
      <c r="L779" s="318"/>
      <c r="M779" s="318"/>
    </row>
    <row r="780" spans="2:13" ht="15">
      <c r="B780" s="517"/>
      <c r="C780" s="318"/>
      <c r="D780" s="318"/>
      <c r="E780" s="318"/>
      <c r="F780" s="318"/>
      <c r="G780" s="318"/>
      <c r="H780" s="318"/>
      <c r="I780" s="318"/>
      <c r="J780" s="318"/>
      <c r="K780" s="318"/>
      <c r="L780" s="318"/>
      <c r="M780" s="318"/>
    </row>
    <row r="781" spans="2:13" ht="15">
      <c r="B781" s="517"/>
      <c r="C781" s="318"/>
      <c r="D781" s="318"/>
      <c r="E781" s="318"/>
      <c r="F781" s="318"/>
      <c r="G781" s="318"/>
      <c r="H781" s="318"/>
      <c r="I781" s="318"/>
      <c r="J781" s="318"/>
      <c r="K781" s="318"/>
      <c r="L781" s="318"/>
      <c r="M781" s="318"/>
    </row>
    <row r="782" spans="2:13" ht="15">
      <c r="B782" s="517"/>
      <c r="C782" s="318"/>
      <c r="D782" s="318"/>
      <c r="E782" s="318"/>
      <c r="F782" s="318"/>
      <c r="G782" s="318"/>
      <c r="H782" s="318"/>
      <c r="I782" s="318"/>
      <c r="J782" s="318"/>
      <c r="K782" s="318"/>
      <c r="L782" s="318"/>
      <c r="M782" s="318"/>
    </row>
    <row r="783" spans="2:13" ht="15">
      <c r="B783" s="517"/>
      <c r="C783" s="318"/>
      <c r="D783" s="318"/>
      <c r="E783" s="318"/>
      <c r="F783" s="318"/>
      <c r="G783" s="318"/>
      <c r="H783" s="318"/>
      <c r="I783" s="318"/>
      <c r="J783" s="318"/>
      <c r="K783" s="318"/>
      <c r="L783" s="318"/>
      <c r="M783" s="318"/>
    </row>
    <row r="784" spans="2:13" ht="15">
      <c r="B784" s="517"/>
      <c r="C784" s="318"/>
      <c r="D784" s="318"/>
      <c r="E784" s="318"/>
      <c r="F784" s="318"/>
      <c r="G784" s="318"/>
      <c r="H784" s="318"/>
      <c r="I784" s="318"/>
      <c r="J784" s="318"/>
      <c r="K784" s="318"/>
      <c r="L784" s="318"/>
      <c r="M784" s="318"/>
    </row>
    <row r="785" spans="2:13" ht="15">
      <c r="B785" s="517"/>
      <c r="C785" s="318"/>
      <c r="D785" s="318"/>
      <c r="E785" s="318"/>
      <c r="F785" s="318"/>
      <c r="G785" s="318"/>
      <c r="H785" s="318"/>
      <c r="I785" s="318"/>
      <c r="J785" s="318"/>
      <c r="K785" s="318"/>
      <c r="L785" s="318"/>
      <c r="M785" s="318"/>
    </row>
    <row r="786" spans="2:13" ht="15">
      <c r="B786" s="517"/>
      <c r="C786" s="318"/>
      <c r="D786" s="318"/>
      <c r="E786" s="318"/>
      <c r="F786" s="318"/>
      <c r="G786" s="318"/>
      <c r="H786" s="318"/>
      <c r="I786" s="318"/>
      <c r="J786" s="318"/>
      <c r="K786" s="318"/>
      <c r="L786" s="318"/>
      <c r="M786" s="318"/>
    </row>
    <row r="787" spans="2:13" ht="15">
      <c r="B787" s="517"/>
      <c r="C787" s="318"/>
      <c r="D787" s="318"/>
      <c r="E787" s="318"/>
      <c r="F787" s="318"/>
      <c r="G787" s="318"/>
      <c r="H787" s="318"/>
      <c r="I787" s="318"/>
      <c r="J787" s="318"/>
      <c r="K787" s="318"/>
      <c r="L787" s="318"/>
      <c r="M787" s="318"/>
    </row>
    <row r="788" spans="2:13" ht="15">
      <c r="B788" s="517"/>
      <c r="C788" s="318"/>
      <c r="D788" s="318"/>
      <c r="E788" s="318"/>
      <c r="F788" s="318"/>
      <c r="G788" s="318"/>
      <c r="H788" s="318"/>
      <c r="I788" s="318"/>
      <c r="J788" s="318"/>
      <c r="K788" s="318"/>
      <c r="L788" s="318"/>
      <c r="M788" s="318"/>
    </row>
    <row r="789" spans="2:13" ht="15">
      <c r="B789" s="517"/>
      <c r="C789" s="318"/>
      <c r="D789" s="318"/>
      <c r="E789" s="318"/>
      <c r="F789" s="318"/>
      <c r="G789" s="318"/>
      <c r="H789" s="318"/>
      <c r="I789" s="318"/>
      <c r="J789" s="318"/>
      <c r="K789" s="318"/>
      <c r="L789" s="318"/>
      <c r="M789" s="318"/>
    </row>
    <row r="790" spans="2:13" ht="15">
      <c r="B790" s="517"/>
      <c r="C790" s="318"/>
      <c r="D790" s="318"/>
      <c r="E790" s="318"/>
      <c r="F790" s="318"/>
      <c r="G790" s="318"/>
      <c r="H790" s="318"/>
      <c r="I790" s="318"/>
      <c r="J790" s="318"/>
      <c r="K790" s="318"/>
      <c r="L790" s="318"/>
      <c r="M790" s="318"/>
    </row>
    <row r="791" spans="2:13" ht="15">
      <c r="B791" s="517"/>
      <c r="C791" s="318"/>
      <c r="D791" s="318"/>
      <c r="E791" s="318"/>
      <c r="F791" s="318"/>
      <c r="G791" s="318"/>
      <c r="H791" s="318"/>
      <c r="I791" s="318"/>
      <c r="J791" s="318"/>
      <c r="K791" s="318"/>
      <c r="L791" s="318"/>
      <c r="M791" s="318"/>
    </row>
    <row r="792" spans="2:13" ht="15">
      <c r="B792" s="517"/>
      <c r="C792" s="318"/>
      <c r="D792" s="318"/>
      <c r="E792" s="318"/>
      <c r="F792" s="318"/>
      <c r="G792" s="318"/>
      <c r="H792" s="318"/>
      <c r="I792" s="318"/>
      <c r="J792" s="318"/>
      <c r="K792" s="318"/>
      <c r="L792" s="318"/>
      <c r="M792" s="318"/>
    </row>
    <row r="793" spans="2:13" ht="15">
      <c r="B793" s="517"/>
      <c r="C793" s="318"/>
      <c r="D793" s="318"/>
      <c r="E793" s="318"/>
      <c r="F793" s="318"/>
      <c r="G793" s="318"/>
      <c r="H793" s="318"/>
      <c r="I793" s="318"/>
      <c r="J793" s="318"/>
      <c r="K793" s="318"/>
      <c r="L793" s="318"/>
      <c r="M793" s="318"/>
    </row>
    <row r="794" spans="2:13" ht="15">
      <c r="B794" s="517"/>
      <c r="C794" s="318"/>
      <c r="D794" s="318"/>
      <c r="E794" s="318"/>
      <c r="F794" s="318"/>
      <c r="G794" s="318"/>
      <c r="H794" s="318"/>
      <c r="I794" s="318"/>
      <c r="J794" s="318"/>
      <c r="K794" s="318"/>
      <c r="L794" s="318"/>
      <c r="M794" s="318"/>
    </row>
    <row r="795" spans="2:13" ht="15">
      <c r="B795" s="517"/>
      <c r="C795" s="318"/>
      <c r="D795" s="318"/>
      <c r="E795" s="318"/>
      <c r="F795" s="318"/>
      <c r="G795" s="318"/>
      <c r="H795" s="318"/>
      <c r="I795" s="318"/>
      <c r="J795" s="318"/>
      <c r="K795" s="318"/>
      <c r="L795" s="318"/>
      <c r="M795" s="318"/>
    </row>
    <row r="796" spans="2:13" ht="15">
      <c r="B796" s="517"/>
      <c r="C796" s="318"/>
      <c r="D796" s="318"/>
      <c r="E796" s="318"/>
      <c r="F796" s="318"/>
      <c r="G796" s="318"/>
      <c r="H796" s="318"/>
      <c r="I796" s="318"/>
      <c r="J796" s="318"/>
      <c r="K796" s="318"/>
      <c r="L796" s="318"/>
      <c r="M796" s="318"/>
    </row>
    <row r="797" spans="2:13" ht="15">
      <c r="B797" s="517"/>
      <c r="C797" s="318"/>
      <c r="D797" s="318"/>
      <c r="E797" s="318"/>
      <c r="F797" s="318"/>
      <c r="G797" s="318"/>
      <c r="H797" s="318"/>
      <c r="I797" s="318"/>
      <c r="J797" s="318"/>
      <c r="K797" s="318"/>
      <c r="L797" s="318"/>
      <c r="M797" s="318"/>
    </row>
    <row r="798" spans="2:13" ht="15">
      <c r="B798" s="517"/>
      <c r="C798" s="318"/>
      <c r="D798" s="318"/>
      <c r="E798" s="318"/>
      <c r="F798" s="318"/>
      <c r="G798" s="318"/>
      <c r="H798" s="318"/>
      <c r="I798" s="318"/>
      <c r="J798" s="318"/>
      <c r="K798" s="318"/>
      <c r="L798" s="318"/>
      <c r="M798" s="318"/>
    </row>
    <row r="799" spans="2:13" ht="15">
      <c r="B799" s="517"/>
      <c r="C799" s="318"/>
      <c r="D799" s="318"/>
      <c r="E799" s="318"/>
      <c r="F799" s="318"/>
      <c r="G799" s="318"/>
      <c r="H799" s="318"/>
      <c r="I799" s="318"/>
      <c r="J799" s="318"/>
      <c r="K799" s="318"/>
      <c r="L799" s="318"/>
      <c r="M799" s="318"/>
    </row>
    <row r="800" spans="2:13" ht="15">
      <c r="B800" s="517"/>
      <c r="C800" s="318"/>
      <c r="D800" s="318"/>
      <c r="E800" s="318"/>
      <c r="F800" s="318"/>
      <c r="G800" s="318"/>
      <c r="H800" s="318"/>
      <c r="I800" s="318"/>
      <c r="J800" s="318"/>
      <c r="K800" s="318"/>
      <c r="L800" s="318"/>
      <c r="M800" s="318"/>
    </row>
    <row r="801" spans="2:13" ht="15">
      <c r="B801" s="517"/>
      <c r="C801" s="318"/>
      <c r="D801" s="318"/>
      <c r="E801" s="318"/>
      <c r="F801" s="318"/>
      <c r="G801" s="318"/>
      <c r="H801" s="318"/>
      <c r="I801" s="318"/>
      <c r="J801" s="318"/>
      <c r="K801" s="318"/>
      <c r="L801" s="318"/>
      <c r="M801" s="318"/>
    </row>
    <row r="802" spans="2:13" ht="15">
      <c r="B802" s="517"/>
      <c r="C802" s="318"/>
      <c r="D802" s="318"/>
      <c r="E802" s="318"/>
      <c r="F802" s="318"/>
      <c r="G802" s="318"/>
      <c r="H802" s="318"/>
      <c r="I802" s="318"/>
      <c r="J802" s="318"/>
      <c r="K802" s="318"/>
      <c r="L802" s="318"/>
      <c r="M802" s="318"/>
    </row>
    <row r="803" spans="2:13" ht="15">
      <c r="B803" s="517"/>
      <c r="C803" s="318"/>
      <c r="D803" s="318"/>
      <c r="E803" s="318"/>
      <c r="F803" s="318"/>
      <c r="G803" s="318"/>
      <c r="H803" s="318"/>
      <c r="I803" s="318"/>
      <c r="J803" s="318"/>
      <c r="K803" s="318"/>
      <c r="L803" s="318"/>
      <c r="M803" s="318"/>
    </row>
    <row r="804" spans="2:13" ht="15">
      <c r="B804" s="517"/>
      <c r="C804" s="318"/>
      <c r="D804" s="318"/>
      <c r="E804" s="318"/>
      <c r="F804" s="318"/>
      <c r="G804" s="318"/>
      <c r="H804" s="318"/>
      <c r="I804" s="318"/>
      <c r="J804" s="318"/>
      <c r="K804" s="318"/>
      <c r="L804" s="318"/>
      <c r="M804" s="318"/>
    </row>
    <row r="805" spans="2:13" ht="15">
      <c r="B805" s="517"/>
      <c r="C805" s="318"/>
      <c r="D805" s="318"/>
      <c r="E805" s="318"/>
      <c r="F805" s="318"/>
      <c r="G805" s="318"/>
      <c r="H805" s="318"/>
      <c r="I805" s="318"/>
      <c r="J805" s="318"/>
      <c r="K805" s="318"/>
      <c r="L805" s="318"/>
      <c r="M805" s="318"/>
    </row>
    <row r="806" spans="2:13" ht="15">
      <c r="B806" s="517"/>
      <c r="C806" s="318"/>
      <c r="D806" s="318"/>
      <c r="E806" s="318"/>
      <c r="F806" s="318"/>
      <c r="G806" s="318"/>
      <c r="H806" s="318"/>
      <c r="I806" s="318"/>
      <c r="J806" s="318"/>
      <c r="K806" s="318"/>
      <c r="L806" s="318"/>
      <c r="M806" s="318"/>
    </row>
    <row r="807" spans="2:13" ht="15">
      <c r="B807" s="517"/>
      <c r="C807" s="318"/>
      <c r="D807" s="318"/>
      <c r="E807" s="318"/>
      <c r="F807" s="318"/>
      <c r="G807" s="318"/>
      <c r="H807" s="318"/>
      <c r="I807" s="318"/>
      <c r="J807" s="318"/>
      <c r="K807" s="318"/>
      <c r="L807" s="318"/>
      <c r="M807" s="318"/>
    </row>
    <row r="808" spans="2:13" ht="15">
      <c r="B808" s="517"/>
      <c r="C808" s="318"/>
      <c r="D808" s="318"/>
      <c r="E808" s="318"/>
      <c r="F808" s="318"/>
      <c r="G808" s="318"/>
      <c r="H808" s="318"/>
      <c r="I808" s="318"/>
      <c r="J808" s="318"/>
      <c r="K808" s="318"/>
      <c r="L808" s="318"/>
      <c r="M808" s="318"/>
    </row>
    <row r="809" spans="2:13" ht="15">
      <c r="B809" s="517"/>
      <c r="C809" s="318"/>
      <c r="D809" s="318"/>
      <c r="E809" s="318"/>
      <c r="F809" s="318"/>
      <c r="G809" s="318"/>
      <c r="H809" s="318"/>
      <c r="I809" s="318"/>
      <c r="J809" s="318"/>
      <c r="K809" s="318"/>
      <c r="L809" s="318"/>
      <c r="M809" s="318"/>
    </row>
    <row r="810" spans="2:13" ht="15">
      <c r="B810" s="517"/>
      <c r="C810" s="318"/>
      <c r="D810" s="318"/>
      <c r="E810" s="318"/>
      <c r="F810" s="318"/>
      <c r="G810" s="318"/>
      <c r="H810" s="318"/>
      <c r="I810" s="318"/>
      <c r="J810" s="318"/>
      <c r="K810" s="318"/>
      <c r="L810" s="318"/>
      <c r="M810" s="318"/>
    </row>
    <row r="811" spans="2:13" ht="15">
      <c r="B811" s="517"/>
      <c r="C811" s="318"/>
      <c r="D811" s="318"/>
      <c r="E811" s="318"/>
      <c r="F811" s="318"/>
      <c r="G811" s="318"/>
      <c r="H811" s="318"/>
      <c r="I811" s="318"/>
      <c r="J811" s="318"/>
      <c r="K811" s="318"/>
      <c r="L811" s="318"/>
      <c r="M811" s="318"/>
    </row>
    <row r="812" spans="2:13" ht="15">
      <c r="B812" s="517"/>
      <c r="C812" s="318"/>
      <c r="D812" s="318"/>
      <c r="E812" s="318"/>
      <c r="F812" s="318"/>
      <c r="G812" s="318"/>
      <c r="H812" s="318"/>
      <c r="I812" s="318"/>
      <c r="J812" s="318"/>
      <c r="K812" s="318"/>
      <c r="L812" s="318"/>
      <c r="M812" s="318"/>
    </row>
    <row r="813" spans="2:13" ht="15">
      <c r="B813" s="517"/>
      <c r="C813" s="318"/>
      <c r="D813" s="318"/>
      <c r="E813" s="318"/>
      <c r="F813" s="318"/>
      <c r="G813" s="318"/>
      <c r="H813" s="318"/>
      <c r="I813" s="318"/>
      <c r="J813" s="318"/>
      <c r="K813" s="318"/>
      <c r="L813" s="318"/>
      <c r="M813" s="318"/>
    </row>
    <row r="814" spans="2:13" ht="15">
      <c r="B814" s="517"/>
      <c r="C814" s="318"/>
      <c r="D814" s="318"/>
      <c r="E814" s="318"/>
      <c r="F814" s="318"/>
      <c r="G814" s="318"/>
      <c r="H814" s="318"/>
      <c r="I814" s="318"/>
      <c r="J814" s="318"/>
      <c r="K814" s="318"/>
      <c r="L814" s="318"/>
      <c r="M814" s="318"/>
    </row>
    <row r="815" spans="2:13" ht="15">
      <c r="B815" s="517"/>
      <c r="C815" s="318"/>
      <c r="D815" s="318"/>
      <c r="E815" s="318"/>
      <c r="F815" s="318"/>
      <c r="G815" s="318"/>
      <c r="H815" s="318"/>
      <c r="I815" s="318"/>
      <c r="J815" s="318"/>
      <c r="K815" s="318"/>
      <c r="L815" s="318"/>
      <c r="M815" s="318"/>
    </row>
    <row r="816" spans="2:13" ht="15">
      <c r="B816" s="517"/>
      <c r="C816" s="318"/>
      <c r="D816" s="318"/>
      <c r="E816" s="318"/>
      <c r="F816" s="318"/>
      <c r="G816" s="318"/>
      <c r="H816" s="318"/>
      <c r="I816" s="318"/>
      <c r="J816" s="318"/>
      <c r="K816" s="318"/>
      <c r="L816" s="318"/>
      <c r="M816" s="318"/>
    </row>
    <row r="817" spans="2:13" ht="15">
      <c r="B817" s="517"/>
      <c r="C817" s="318"/>
      <c r="D817" s="318"/>
      <c r="E817" s="318"/>
      <c r="F817" s="318"/>
      <c r="G817" s="318"/>
      <c r="H817" s="318"/>
      <c r="I817" s="318"/>
      <c r="J817" s="318"/>
      <c r="K817" s="318"/>
      <c r="L817" s="318"/>
      <c r="M817" s="318"/>
    </row>
    <row r="818" spans="2:13" ht="15">
      <c r="B818" s="517"/>
      <c r="C818" s="318"/>
      <c r="D818" s="318"/>
      <c r="E818" s="318"/>
      <c r="F818" s="318"/>
      <c r="G818" s="318"/>
      <c r="H818" s="318"/>
      <c r="I818" s="318"/>
      <c r="J818" s="318"/>
      <c r="K818" s="318"/>
      <c r="L818" s="318"/>
      <c r="M818" s="318"/>
    </row>
    <row r="819" spans="2:13" ht="15">
      <c r="B819" s="517"/>
      <c r="C819" s="318"/>
      <c r="D819" s="318"/>
      <c r="E819" s="318"/>
      <c r="F819" s="318"/>
      <c r="G819" s="318"/>
      <c r="H819" s="318"/>
      <c r="I819" s="318"/>
      <c r="J819" s="318"/>
      <c r="K819" s="318"/>
      <c r="L819" s="318"/>
      <c r="M819" s="318"/>
    </row>
    <row r="820" spans="2:13" ht="15">
      <c r="B820" s="517"/>
      <c r="C820" s="318"/>
      <c r="D820" s="318"/>
      <c r="E820" s="318"/>
      <c r="F820" s="318"/>
      <c r="G820" s="318"/>
      <c r="H820" s="318"/>
      <c r="I820" s="318"/>
      <c r="J820" s="318"/>
      <c r="K820" s="318"/>
      <c r="L820" s="318"/>
      <c r="M820" s="318"/>
    </row>
    <row r="821" spans="2:13" ht="15">
      <c r="B821" s="517"/>
      <c r="C821" s="318"/>
      <c r="D821" s="318"/>
      <c r="E821" s="318"/>
      <c r="F821" s="318"/>
      <c r="G821" s="318"/>
      <c r="H821" s="318"/>
      <c r="I821" s="318"/>
      <c r="J821" s="318"/>
      <c r="K821" s="318"/>
      <c r="L821" s="318"/>
      <c r="M821" s="318"/>
    </row>
    <row r="822" spans="2:13" ht="15">
      <c r="B822" s="517"/>
      <c r="C822" s="318"/>
      <c r="D822" s="318"/>
      <c r="E822" s="318"/>
      <c r="F822" s="318"/>
      <c r="G822" s="318"/>
      <c r="H822" s="318"/>
      <c r="I822" s="318"/>
      <c r="J822" s="318"/>
      <c r="K822" s="318"/>
      <c r="L822" s="318"/>
      <c r="M822" s="318"/>
    </row>
    <row r="823" spans="2:13" ht="15">
      <c r="B823" s="517"/>
      <c r="C823" s="318"/>
      <c r="D823" s="318"/>
      <c r="E823" s="318"/>
      <c r="F823" s="318"/>
      <c r="G823" s="318"/>
      <c r="H823" s="318"/>
      <c r="I823" s="318"/>
      <c r="J823" s="318"/>
      <c r="K823" s="318"/>
      <c r="L823" s="318"/>
      <c r="M823" s="318"/>
    </row>
    <row r="824" spans="2:13" ht="15">
      <c r="B824" s="517"/>
      <c r="C824" s="318"/>
      <c r="D824" s="318"/>
      <c r="E824" s="318"/>
      <c r="F824" s="318"/>
      <c r="G824" s="318"/>
      <c r="H824" s="318"/>
      <c r="I824" s="318"/>
      <c r="J824" s="318"/>
      <c r="K824" s="318"/>
      <c r="L824" s="318"/>
      <c r="M824" s="318"/>
    </row>
    <row r="825" spans="2:13" ht="15">
      <c r="B825" s="517"/>
      <c r="C825" s="318"/>
      <c r="D825" s="318"/>
      <c r="E825" s="318"/>
      <c r="F825" s="318"/>
      <c r="G825" s="318"/>
      <c r="H825" s="318"/>
      <c r="I825" s="318"/>
      <c r="J825" s="318"/>
      <c r="K825" s="318"/>
      <c r="L825" s="318"/>
      <c r="M825" s="318"/>
    </row>
    <row r="826" spans="2:13" ht="15">
      <c r="B826" s="517"/>
      <c r="C826" s="318"/>
      <c r="D826" s="318"/>
      <c r="E826" s="318"/>
      <c r="F826" s="318"/>
      <c r="G826" s="318"/>
      <c r="H826" s="318"/>
      <c r="I826" s="318"/>
      <c r="J826" s="318"/>
      <c r="K826" s="318"/>
      <c r="L826" s="318"/>
      <c r="M826" s="318"/>
    </row>
    <row r="827" spans="2:13" ht="15">
      <c r="B827" s="517"/>
      <c r="C827" s="318"/>
      <c r="D827" s="318"/>
      <c r="E827" s="318"/>
      <c r="F827" s="318"/>
      <c r="G827" s="318"/>
      <c r="H827" s="318"/>
      <c r="I827" s="318"/>
      <c r="J827" s="318"/>
      <c r="K827" s="318"/>
      <c r="L827" s="318"/>
      <c r="M827" s="318"/>
    </row>
    <row r="828" spans="2:13" ht="15">
      <c r="B828" s="517"/>
      <c r="C828" s="318"/>
      <c r="D828" s="318"/>
      <c r="E828" s="318"/>
      <c r="F828" s="318"/>
      <c r="G828" s="318"/>
      <c r="H828" s="318"/>
      <c r="I828" s="318"/>
      <c r="J828" s="318"/>
      <c r="K828" s="318"/>
      <c r="L828" s="318"/>
      <c r="M828" s="318"/>
    </row>
    <row r="829" spans="2:13" ht="15">
      <c r="B829" s="517"/>
      <c r="C829" s="318"/>
      <c r="D829" s="318"/>
      <c r="E829" s="318"/>
      <c r="F829" s="318"/>
      <c r="G829" s="318"/>
      <c r="H829" s="318"/>
      <c r="I829" s="318"/>
      <c r="J829" s="318"/>
      <c r="K829" s="318"/>
      <c r="L829" s="318"/>
      <c r="M829" s="318"/>
    </row>
    <row r="830" spans="2:13" ht="15">
      <c r="B830" s="517"/>
      <c r="C830" s="318"/>
      <c r="D830" s="318"/>
      <c r="E830" s="318"/>
      <c r="F830" s="318"/>
      <c r="G830" s="318"/>
      <c r="H830" s="318"/>
      <c r="I830" s="318"/>
      <c r="J830" s="318"/>
      <c r="K830" s="318"/>
      <c r="L830" s="318"/>
      <c r="M830" s="318"/>
    </row>
    <row r="831" spans="2:13" ht="15">
      <c r="B831" s="517"/>
      <c r="C831" s="318"/>
      <c r="D831" s="318"/>
      <c r="E831" s="318"/>
      <c r="F831" s="318"/>
      <c r="G831" s="318"/>
      <c r="H831" s="318"/>
      <c r="I831" s="318"/>
      <c r="J831" s="318"/>
      <c r="K831" s="318"/>
      <c r="L831" s="318"/>
      <c r="M831" s="318"/>
    </row>
    <row r="832" spans="2:13" ht="15">
      <c r="B832" s="517"/>
      <c r="C832" s="318"/>
      <c r="D832" s="318"/>
      <c r="E832" s="318"/>
      <c r="F832" s="318"/>
      <c r="G832" s="318"/>
      <c r="H832" s="318"/>
      <c r="I832" s="318"/>
      <c r="J832" s="318"/>
      <c r="K832" s="318"/>
      <c r="L832" s="318"/>
      <c r="M832" s="318"/>
    </row>
    <row r="833" spans="2:13" ht="15">
      <c r="B833" s="517"/>
      <c r="C833" s="318"/>
      <c r="D833" s="318"/>
      <c r="E833" s="318"/>
      <c r="F833" s="318"/>
      <c r="G833" s="318"/>
      <c r="H833" s="318"/>
      <c r="I833" s="318"/>
      <c r="J833" s="318"/>
      <c r="K833" s="318"/>
      <c r="L833" s="318"/>
      <c r="M833" s="318"/>
    </row>
    <row r="834" spans="2:13" ht="15">
      <c r="B834" s="517"/>
      <c r="C834" s="318"/>
      <c r="D834" s="318"/>
      <c r="E834" s="318"/>
      <c r="F834" s="318"/>
      <c r="G834" s="318"/>
      <c r="H834" s="318"/>
      <c r="I834" s="318"/>
      <c r="J834" s="318"/>
      <c r="K834" s="318"/>
      <c r="L834" s="318"/>
      <c r="M834" s="318"/>
    </row>
    <row r="835" spans="2:13" ht="15">
      <c r="B835" s="517"/>
      <c r="C835" s="318"/>
      <c r="D835" s="318"/>
      <c r="E835" s="318"/>
      <c r="F835" s="318"/>
      <c r="G835" s="318"/>
      <c r="H835" s="318"/>
      <c r="I835" s="318"/>
      <c r="J835" s="318"/>
      <c r="K835" s="318"/>
      <c r="L835" s="318"/>
      <c r="M835" s="318"/>
    </row>
    <row r="836" spans="2:13" ht="15">
      <c r="B836" s="517"/>
      <c r="C836" s="318"/>
      <c r="D836" s="318"/>
      <c r="E836" s="318"/>
      <c r="F836" s="318"/>
      <c r="G836" s="318"/>
      <c r="H836" s="318"/>
      <c r="I836" s="318"/>
      <c r="J836" s="318"/>
      <c r="K836" s="318"/>
      <c r="L836" s="318"/>
      <c r="M836" s="318"/>
    </row>
    <row r="837" spans="2:13" ht="15">
      <c r="B837" s="517"/>
      <c r="C837" s="318"/>
      <c r="D837" s="318"/>
      <c r="E837" s="318"/>
      <c r="F837" s="318"/>
      <c r="G837" s="318"/>
      <c r="H837" s="318"/>
      <c r="I837" s="318"/>
      <c r="J837" s="318"/>
      <c r="K837" s="318"/>
      <c r="L837" s="318"/>
      <c r="M837" s="318"/>
    </row>
    <row r="838" spans="2:13" ht="15">
      <c r="B838" s="517"/>
      <c r="C838" s="318"/>
      <c r="D838" s="318"/>
      <c r="E838" s="318"/>
      <c r="F838" s="318"/>
      <c r="G838" s="318"/>
      <c r="H838" s="318"/>
      <c r="I838" s="318"/>
      <c r="J838" s="318"/>
      <c r="K838" s="318"/>
      <c r="L838" s="318"/>
      <c r="M838" s="318"/>
    </row>
    <row r="839" spans="2:13" ht="15">
      <c r="B839" s="517"/>
      <c r="C839" s="318"/>
      <c r="D839" s="318"/>
      <c r="E839" s="318"/>
      <c r="F839" s="318"/>
      <c r="G839" s="318"/>
      <c r="H839" s="318"/>
      <c r="I839" s="318"/>
      <c r="J839" s="318"/>
      <c r="K839" s="318"/>
      <c r="L839" s="318"/>
      <c r="M839" s="318"/>
    </row>
    <row r="840" spans="2:13" ht="15">
      <c r="B840" s="517"/>
      <c r="C840" s="318"/>
      <c r="D840" s="318"/>
      <c r="E840" s="318"/>
      <c r="F840" s="318"/>
      <c r="G840" s="318"/>
      <c r="H840" s="318"/>
      <c r="I840" s="318"/>
      <c r="J840" s="318"/>
      <c r="K840" s="318"/>
      <c r="L840" s="318"/>
      <c r="M840" s="318"/>
    </row>
    <row r="841" spans="2:13" ht="15">
      <c r="B841" s="517"/>
      <c r="C841" s="318"/>
      <c r="D841" s="318"/>
      <c r="E841" s="318"/>
      <c r="F841" s="318"/>
      <c r="G841" s="318"/>
      <c r="H841" s="318"/>
      <c r="I841" s="318"/>
      <c r="J841" s="318"/>
      <c r="K841" s="318"/>
      <c r="L841" s="318"/>
      <c r="M841" s="318"/>
    </row>
    <row r="842" spans="2:13" ht="15">
      <c r="B842" s="517"/>
      <c r="C842" s="318"/>
      <c r="D842" s="318"/>
      <c r="E842" s="318"/>
      <c r="F842" s="318"/>
      <c r="G842" s="318"/>
      <c r="H842" s="318"/>
      <c r="I842" s="318"/>
      <c r="J842" s="318"/>
      <c r="K842" s="318"/>
      <c r="L842" s="318"/>
      <c r="M842" s="318"/>
    </row>
    <row r="843" spans="2:13" ht="15">
      <c r="B843" s="517"/>
      <c r="C843" s="318"/>
      <c r="D843" s="318"/>
      <c r="E843" s="318"/>
      <c r="F843" s="318"/>
      <c r="G843" s="318"/>
      <c r="H843" s="318"/>
      <c r="I843" s="318"/>
      <c r="J843" s="318"/>
      <c r="K843" s="318"/>
      <c r="L843" s="318"/>
      <c r="M843" s="318"/>
    </row>
    <row r="844" spans="2:13" ht="15">
      <c r="B844" s="517"/>
      <c r="C844" s="318"/>
      <c r="D844" s="318"/>
      <c r="E844" s="318"/>
      <c r="F844" s="318"/>
      <c r="G844" s="318"/>
      <c r="H844" s="318"/>
      <c r="I844" s="318"/>
      <c r="J844" s="318"/>
      <c r="K844" s="318"/>
      <c r="L844" s="318"/>
      <c r="M844" s="318"/>
    </row>
    <row r="845" spans="2:13" ht="15">
      <c r="B845" s="517"/>
      <c r="C845" s="318"/>
      <c r="D845" s="318"/>
      <c r="E845" s="318"/>
      <c r="F845" s="318"/>
      <c r="G845" s="318"/>
      <c r="H845" s="318"/>
      <c r="I845" s="318"/>
      <c r="J845" s="318"/>
      <c r="K845" s="318"/>
      <c r="L845" s="318"/>
      <c r="M845" s="318"/>
    </row>
    <row r="846" spans="2:13" ht="15">
      <c r="B846" s="517"/>
      <c r="C846" s="318"/>
      <c r="D846" s="318"/>
      <c r="E846" s="318"/>
      <c r="F846" s="318"/>
      <c r="G846" s="318"/>
      <c r="H846" s="318"/>
      <c r="I846" s="318"/>
      <c r="J846" s="318"/>
      <c r="K846" s="318"/>
      <c r="L846" s="318"/>
      <c r="M846" s="318"/>
    </row>
    <row r="847" spans="2:13" ht="15">
      <c r="B847" s="517"/>
      <c r="C847" s="318"/>
      <c r="D847" s="318"/>
      <c r="E847" s="318"/>
      <c r="F847" s="318"/>
      <c r="G847" s="318"/>
      <c r="H847" s="318"/>
      <c r="I847" s="318"/>
      <c r="J847" s="318"/>
      <c r="K847" s="318"/>
      <c r="L847" s="318"/>
      <c r="M847" s="318"/>
    </row>
    <row r="848" spans="2:13" ht="15">
      <c r="B848" s="517"/>
      <c r="C848" s="318"/>
      <c r="D848" s="318"/>
      <c r="E848" s="318"/>
      <c r="F848" s="318"/>
      <c r="G848" s="318"/>
      <c r="H848" s="318"/>
      <c r="I848" s="318"/>
      <c r="J848" s="318"/>
      <c r="K848" s="318"/>
      <c r="L848" s="318"/>
      <c r="M848" s="318"/>
    </row>
    <row r="849" spans="2:13" ht="15">
      <c r="B849" s="517"/>
      <c r="C849" s="318"/>
      <c r="D849" s="318"/>
      <c r="E849" s="318"/>
      <c r="F849" s="318"/>
      <c r="G849" s="318"/>
      <c r="H849" s="318"/>
      <c r="I849" s="318"/>
      <c r="J849" s="318"/>
      <c r="K849" s="318"/>
      <c r="L849" s="318"/>
      <c r="M849" s="318"/>
    </row>
    <row r="850" spans="2:13" ht="15">
      <c r="B850" s="517"/>
      <c r="C850" s="318"/>
      <c r="D850" s="318"/>
      <c r="E850" s="318"/>
      <c r="F850" s="318"/>
      <c r="G850" s="318"/>
      <c r="H850" s="318"/>
      <c r="I850" s="318"/>
      <c r="J850" s="318"/>
      <c r="K850" s="318"/>
      <c r="L850" s="318"/>
      <c r="M850" s="318"/>
    </row>
    <row r="851" spans="2:13" ht="15">
      <c r="B851" s="517"/>
      <c r="C851" s="318"/>
      <c r="D851" s="318"/>
      <c r="E851" s="318"/>
      <c r="F851" s="318"/>
      <c r="G851" s="318"/>
      <c r="H851" s="318"/>
      <c r="I851" s="318"/>
      <c r="J851" s="318"/>
      <c r="K851" s="318"/>
      <c r="L851" s="318"/>
      <c r="M851" s="318"/>
    </row>
    <row r="852" spans="2:13" ht="15">
      <c r="B852" s="517"/>
      <c r="C852" s="318"/>
      <c r="D852" s="318"/>
      <c r="E852" s="318"/>
      <c r="F852" s="318"/>
      <c r="G852" s="318"/>
      <c r="H852" s="318"/>
      <c r="I852" s="318"/>
      <c r="J852" s="318"/>
      <c r="K852" s="318"/>
      <c r="L852" s="318"/>
      <c r="M852" s="318"/>
    </row>
    <row r="853" spans="2:13" ht="15">
      <c r="B853" s="517"/>
      <c r="C853" s="318"/>
      <c r="D853" s="318"/>
      <c r="E853" s="318"/>
      <c r="F853" s="318"/>
      <c r="G853" s="318"/>
      <c r="H853" s="318"/>
      <c r="I853" s="318"/>
      <c r="J853" s="318"/>
      <c r="K853" s="318"/>
      <c r="L853" s="318"/>
      <c r="M853" s="318"/>
    </row>
    <row r="854" spans="2:13" ht="15">
      <c r="B854" s="517"/>
      <c r="C854" s="318"/>
      <c r="D854" s="318"/>
      <c r="E854" s="318"/>
      <c r="F854" s="318"/>
      <c r="G854" s="318"/>
      <c r="H854" s="318"/>
      <c r="I854" s="318"/>
      <c r="J854" s="318"/>
      <c r="K854" s="318"/>
      <c r="L854" s="318"/>
      <c r="M854" s="318"/>
    </row>
    <row r="855" spans="2:13" ht="15">
      <c r="B855" s="517"/>
      <c r="C855" s="318"/>
      <c r="D855" s="318"/>
      <c r="E855" s="318"/>
      <c r="F855" s="318"/>
      <c r="G855" s="318"/>
      <c r="H855" s="318"/>
      <c r="I855" s="318"/>
      <c r="J855" s="318"/>
      <c r="K855" s="318"/>
      <c r="L855" s="318"/>
      <c r="M855" s="318"/>
    </row>
    <row r="856" spans="2:13" ht="15">
      <c r="B856" s="517"/>
      <c r="C856" s="318"/>
      <c r="D856" s="318"/>
      <c r="E856" s="318"/>
      <c r="F856" s="318"/>
      <c r="G856" s="318"/>
      <c r="H856" s="318"/>
      <c r="I856" s="318"/>
      <c r="J856" s="318"/>
      <c r="K856" s="318"/>
      <c r="L856" s="318"/>
      <c r="M856" s="318"/>
    </row>
    <row r="857" spans="2:13" ht="15">
      <c r="B857" s="517"/>
      <c r="C857" s="318"/>
      <c r="D857" s="318"/>
      <c r="E857" s="318"/>
      <c r="F857" s="318"/>
      <c r="G857" s="318"/>
      <c r="H857" s="318"/>
      <c r="I857" s="318"/>
      <c r="J857" s="318"/>
      <c r="K857" s="318"/>
      <c r="L857" s="318"/>
      <c r="M857" s="318"/>
    </row>
    <row r="858" spans="2:13" ht="15">
      <c r="B858" s="517"/>
      <c r="C858" s="318"/>
      <c r="D858" s="318"/>
      <c r="E858" s="318"/>
      <c r="F858" s="318"/>
      <c r="G858" s="318"/>
      <c r="H858" s="318"/>
      <c r="I858" s="318"/>
      <c r="J858" s="318"/>
      <c r="K858" s="318"/>
      <c r="L858" s="318"/>
      <c r="M858" s="318"/>
    </row>
    <row r="859" spans="2:13" ht="15">
      <c r="B859" s="517"/>
      <c r="C859" s="318"/>
      <c r="D859" s="318"/>
      <c r="E859" s="318"/>
      <c r="F859" s="318"/>
      <c r="G859" s="318"/>
      <c r="H859" s="318"/>
      <c r="I859" s="318"/>
      <c r="J859" s="318"/>
      <c r="K859" s="318"/>
      <c r="L859" s="318"/>
      <c r="M859" s="318"/>
    </row>
    <row r="860" spans="2:13" ht="15">
      <c r="B860" s="517"/>
      <c r="C860" s="318"/>
      <c r="D860" s="318"/>
      <c r="E860" s="318"/>
      <c r="F860" s="318"/>
      <c r="G860" s="318"/>
      <c r="H860" s="318"/>
      <c r="I860" s="318"/>
      <c r="J860" s="318"/>
      <c r="K860" s="318"/>
      <c r="L860" s="318"/>
      <c r="M860" s="318"/>
    </row>
    <row r="861" spans="2:13" ht="15">
      <c r="B861" s="517"/>
      <c r="C861" s="318"/>
      <c r="D861" s="318"/>
      <c r="E861" s="318"/>
      <c r="F861" s="318"/>
      <c r="G861" s="318"/>
      <c r="H861" s="318"/>
      <c r="I861" s="318"/>
      <c r="J861" s="318"/>
      <c r="K861" s="318"/>
      <c r="L861" s="318"/>
      <c r="M861" s="318"/>
    </row>
    <row r="862" spans="2:13" ht="15">
      <c r="B862" s="517"/>
      <c r="C862" s="318"/>
      <c r="D862" s="318"/>
      <c r="E862" s="318"/>
      <c r="F862" s="318"/>
      <c r="G862" s="318"/>
      <c r="H862" s="318"/>
      <c r="I862" s="318"/>
      <c r="J862" s="318"/>
      <c r="K862" s="318"/>
      <c r="L862" s="318"/>
      <c r="M862" s="318"/>
    </row>
    <row r="863" spans="2:13" ht="15">
      <c r="B863" s="517"/>
      <c r="C863" s="318"/>
      <c r="D863" s="318"/>
      <c r="E863" s="318"/>
      <c r="F863" s="318"/>
      <c r="G863" s="318"/>
      <c r="H863" s="318"/>
      <c r="I863" s="318"/>
      <c r="J863" s="318"/>
      <c r="K863" s="318"/>
      <c r="L863" s="318"/>
      <c r="M863" s="318"/>
    </row>
    <row r="864" spans="2:13" ht="15">
      <c r="B864" s="517"/>
      <c r="C864" s="318"/>
      <c r="D864" s="318"/>
      <c r="E864" s="318"/>
      <c r="F864" s="318"/>
      <c r="G864" s="318"/>
      <c r="H864" s="318"/>
      <c r="I864" s="318"/>
      <c r="J864" s="318"/>
      <c r="K864" s="318"/>
      <c r="L864" s="318"/>
      <c r="M864" s="318"/>
    </row>
    <row r="865" spans="2:13" ht="15">
      <c r="B865" s="517"/>
      <c r="C865" s="318"/>
      <c r="D865" s="318"/>
      <c r="E865" s="318"/>
      <c r="F865" s="318"/>
      <c r="G865" s="318"/>
      <c r="H865" s="318"/>
      <c r="I865" s="318"/>
      <c r="J865" s="318"/>
      <c r="K865" s="318"/>
      <c r="L865" s="318"/>
      <c r="M865" s="318"/>
    </row>
    <row r="866" spans="2:13" ht="15">
      <c r="B866" s="517"/>
      <c r="C866" s="318"/>
      <c r="D866" s="318"/>
      <c r="E866" s="318"/>
      <c r="F866" s="318"/>
      <c r="G866" s="318"/>
      <c r="H866" s="318"/>
      <c r="I866" s="318"/>
      <c r="J866" s="318"/>
      <c r="K866" s="318"/>
      <c r="L866" s="318"/>
      <c r="M866" s="318"/>
    </row>
    <row r="867" spans="2:13" ht="15">
      <c r="B867" s="517"/>
      <c r="C867" s="318"/>
      <c r="D867" s="318"/>
      <c r="E867" s="318"/>
      <c r="F867" s="318"/>
      <c r="G867" s="318"/>
      <c r="H867" s="318"/>
      <c r="I867" s="318"/>
      <c r="J867" s="318"/>
      <c r="K867" s="318"/>
      <c r="L867" s="318"/>
      <c r="M867" s="318"/>
    </row>
    <row r="868" spans="2:13" ht="15">
      <c r="B868" s="517"/>
      <c r="C868" s="318"/>
      <c r="D868" s="318"/>
      <c r="E868" s="318"/>
      <c r="F868" s="318"/>
      <c r="G868" s="318"/>
      <c r="H868" s="318"/>
      <c r="I868" s="318"/>
      <c r="J868" s="318"/>
      <c r="K868" s="318"/>
      <c r="L868" s="318"/>
      <c r="M868" s="318"/>
    </row>
    <row r="869" spans="2:13" ht="15">
      <c r="B869" s="517"/>
      <c r="C869" s="318"/>
      <c r="D869" s="318"/>
      <c r="E869" s="318"/>
      <c r="F869" s="318"/>
      <c r="G869" s="318"/>
      <c r="H869" s="318"/>
      <c r="I869" s="318"/>
      <c r="J869" s="318"/>
      <c r="K869" s="318"/>
      <c r="L869" s="318"/>
      <c r="M869" s="318"/>
    </row>
    <row r="870" spans="2:13" ht="15">
      <c r="B870" s="517"/>
      <c r="C870" s="318"/>
      <c r="D870" s="318"/>
      <c r="E870" s="318"/>
      <c r="F870" s="318"/>
      <c r="G870" s="318"/>
      <c r="H870" s="318"/>
      <c r="I870" s="318"/>
      <c r="J870" s="318"/>
      <c r="K870" s="318"/>
      <c r="L870" s="318"/>
      <c r="M870" s="318"/>
    </row>
    <row r="871" spans="2:13" ht="15">
      <c r="B871" s="517"/>
      <c r="C871" s="318"/>
      <c r="D871" s="318"/>
      <c r="E871" s="318"/>
      <c r="F871" s="318"/>
      <c r="G871" s="318"/>
      <c r="H871" s="318"/>
      <c r="I871" s="318"/>
      <c r="J871" s="318"/>
      <c r="K871" s="318"/>
      <c r="L871" s="318"/>
      <c r="M871" s="318"/>
    </row>
    <row r="872" spans="2:13" ht="15">
      <c r="B872" s="517"/>
      <c r="C872" s="318"/>
      <c r="D872" s="318"/>
      <c r="E872" s="318"/>
      <c r="F872" s="318"/>
      <c r="G872" s="318"/>
      <c r="H872" s="318"/>
      <c r="I872" s="318"/>
      <c r="J872" s="318"/>
      <c r="K872" s="318"/>
      <c r="L872" s="318"/>
      <c r="M872" s="318"/>
    </row>
    <row r="873" spans="2:13" ht="15">
      <c r="B873" s="517"/>
      <c r="C873" s="318"/>
      <c r="D873" s="318"/>
      <c r="E873" s="318"/>
      <c r="F873" s="318"/>
      <c r="G873" s="318"/>
      <c r="H873" s="318"/>
      <c r="I873" s="318"/>
      <c r="J873" s="318"/>
      <c r="K873" s="318"/>
      <c r="L873" s="318"/>
      <c r="M873" s="318"/>
    </row>
    <row r="874" spans="2:13" ht="15">
      <c r="B874" s="517"/>
      <c r="C874" s="318"/>
      <c r="D874" s="318"/>
      <c r="E874" s="318"/>
      <c r="F874" s="318"/>
      <c r="G874" s="318"/>
      <c r="H874" s="318"/>
      <c r="I874" s="318"/>
      <c r="J874" s="318"/>
      <c r="K874" s="318"/>
      <c r="L874" s="318"/>
      <c r="M874" s="318"/>
    </row>
    <row r="875" spans="2:13" ht="15">
      <c r="B875" s="517"/>
      <c r="C875" s="318"/>
      <c r="D875" s="318"/>
      <c r="E875" s="318"/>
      <c r="F875" s="318"/>
      <c r="G875" s="318"/>
      <c r="H875" s="318"/>
      <c r="I875" s="318"/>
      <c r="J875" s="318"/>
      <c r="K875" s="318"/>
      <c r="L875" s="318"/>
      <c r="M875" s="318"/>
    </row>
    <row r="876" spans="2:13" ht="15">
      <c r="B876" s="517"/>
      <c r="C876" s="318"/>
      <c r="D876" s="318"/>
      <c r="E876" s="318"/>
      <c r="F876" s="318"/>
      <c r="G876" s="318"/>
      <c r="H876" s="318"/>
      <c r="I876" s="318"/>
      <c r="J876" s="318"/>
      <c r="K876" s="318"/>
      <c r="L876" s="318"/>
      <c r="M876" s="318"/>
    </row>
    <row r="877" spans="2:13" ht="15">
      <c r="B877" s="517"/>
      <c r="C877" s="318"/>
      <c r="D877" s="318"/>
      <c r="E877" s="318"/>
      <c r="F877" s="318"/>
      <c r="G877" s="318"/>
      <c r="H877" s="318"/>
      <c r="I877" s="318"/>
      <c r="J877" s="318"/>
      <c r="K877" s="318"/>
      <c r="L877" s="318"/>
      <c r="M877" s="318"/>
    </row>
    <row r="878" spans="2:13" ht="15">
      <c r="B878" s="517"/>
      <c r="C878" s="318"/>
      <c r="D878" s="318"/>
      <c r="E878" s="318"/>
      <c r="F878" s="318"/>
      <c r="G878" s="318"/>
      <c r="H878" s="318"/>
      <c r="I878" s="318"/>
      <c r="J878" s="318"/>
      <c r="K878" s="318"/>
      <c r="L878" s="318"/>
      <c r="M878" s="318"/>
    </row>
    <row r="879" spans="2:13" ht="15">
      <c r="B879" s="517"/>
      <c r="C879" s="318"/>
      <c r="D879" s="318"/>
      <c r="E879" s="318"/>
      <c r="F879" s="318"/>
      <c r="G879" s="318"/>
      <c r="H879" s="318"/>
      <c r="I879" s="318"/>
      <c r="J879" s="318"/>
      <c r="K879" s="318"/>
      <c r="L879" s="318"/>
      <c r="M879" s="318"/>
    </row>
    <row r="880" spans="2:13" ht="15">
      <c r="B880" s="517"/>
      <c r="C880" s="318"/>
      <c r="D880" s="318"/>
      <c r="E880" s="318"/>
      <c r="F880" s="318"/>
      <c r="G880" s="318"/>
      <c r="H880" s="318"/>
      <c r="I880" s="318"/>
      <c r="J880" s="318"/>
      <c r="K880" s="318"/>
      <c r="L880" s="318"/>
      <c r="M880" s="318"/>
    </row>
    <row r="881" spans="2:13" ht="15">
      <c r="B881" s="517"/>
      <c r="C881" s="318"/>
      <c r="D881" s="318"/>
      <c r="E881" s="318"/>
      <c r="F881" s="318"/>
      <c r="G881" s="318"/>
      <c r="H881" s="318"/>
      <c r="I881" s="318"/>
      <c r="J881" s="318"/>
      <c r="K881" s="318"/>
      <c r="L881" s="318"/>
      <c r="M881" s="318"/>
    </row>
    <row r="882" spans="2:13" ht="15">
      <c r="B882" s="517"/>
      <c r="C882" s="318"/>
      <c r="D882" s="318"/>
      <c r="E882" s="318"/>
      <c r="F882" s="318"/>
      <c r="G882" s="318"/>
      <c r="H882" s="318"/>
      <c r="I882" s="318"/>
      <c r="J882" s="318"/>
      <c r="K882" s="318"/>
      <c r="L882" s="318"/>
      <c r="M882" s="318"/>
    </row>
    <row r="883" spans="2:13" ht="15">
      <c r="B883" s="517"/>
      <c r="C883" s="318"/>
      <c r="D883" s="318"/>
      <c r="E883" s="318"/>
      <c r="F883" s="318"/>
      <c r="G883" s="318"/>
      <c r="H883" s="318"/>
      <c r="I883" s="318"/>
      <c r="J883" s="318"/>
      <c r="K883" s="318"/>
      <c r="L883" s="318"/>
      <c r="M883" s="318"/>
    </row>
    <row r="884" spans="2:13" ht="15">
      <c r="B884" s="517"/>
      <c r="C884" s="318"/>
      <c r="D884" s="318"/>
      <c r="E884" s="318"/>
      <c r="F884" s="318"/>
      <c r="G884" s="318"/>
      <c r="H884" s="318"/>
      <c r="I884" s="318"/>
      <c r="J884" s="318"/>
      <c r="K884" s="318"/>
      <c r="L884" s="318"/>
      <c r="M884" s="318"/>
    </row>
    <row r="885" spans="2:13" ht="15">
      <c r="B885" s="517"/>
      <c r="C885" s="318"/>
      <c r="D885" s="318"/>
      <c r="E885" s="318"/>
      <c r="F885" s="318"/>
      <c r="G885" s="318"/>
      <c r="H885" s="318"/>
      <c r="I885" s="318"/>
      <c r="J885" s="318"/>
      <c r="K885" s="318"/>
      <c r="L885" s="318"/>
      <c r="M885" s="318"/>
    </row>
    <row r="886" spans="2:13" ht="15">
      <c r="B886" s="517"/>
      <c r="C886" s="318"/>
      <c r="D886" s="318"/>
      <c r="E886" s="318"/>
      <c r="F886" s="318"/>
      <c r="G886" s="318"/>
      <c r="H886" s="318"/>
      <c r="I886" s="318"/>
      <c r="J886" s="318"/>
      <c r="K886" s="318"/>
      <c r="L886" s="318"/>
      <c r="M886" s="318"/>
    </row>
    <row r="887" spans="2:13" ht="15">
      <c r="B887" s="517"/>
      <c r="C887" s="318"/>
      <c r="D887" s="318"/>
      <c r="E887" s="318"/>
      <c r="F887" s="318"/>
      <c r="G887" s="318"/>
      <c r="H887" s="318"/>
      <c r="I887" s="318"/>
      <c r="J887" s="318"/>
      <c r="K887" s="318"/>
      <c r="L887" s="318"/>
      <c r="M887" s="318"/>
    </row>
    <row r="888" spans="2:13" ht="15">
      <c r="B888" s="517"/>
      <c r="C888" s="318"/>
      <c r="D888" s="318"/>
      <c r="E888" s="318"/>
      <c r="F888" s="318"/>
      <c r="G888" s="318"/>
      <c r="H888" s="318"/>
      <c r="I888" s="318"/>
      <c r="J888" s="318"/>
      <c r="K888" s="318"/>
      <c r="L888" s="318"/>
      <c r="M888" s="318"/>
    </row>
    <row r="889" spans="2:13" ht="15">
      <c r="B889" s="517"/>
      <c r="C889" s="318"/>
      <c r="D889" s="318"/>
      <c r="E889" s="318"/>
      <c r="F889" s="318"/>
      <c r="G889" s="318"/>
      <c r="H889" s="318"/>
      <c r="I889" s="318"/>
      <c r="J889" s="318"/>
      <c r="K889" s="318"/>
      <c r="L889" s="318"/>
      <c r="M889" s="318"/>
    </row>
    <row r="890" spans="2:13" ht="15">
      <c r="B890" s="517"/>
      <c r="C890" s="318"/>
      <c r="D890" s="318"/>
      <c r="E890" s="318"/>
      <c r="F890" s="318"/>
      <c r="G890" s="318"/>
      <c r="H890" s="318"/>
      <c r="I890" s="318"/>
      <c r="J890" s="318"/>
      <c r="K890" s="318"/>
      <c r="L890" s="318"/>
      <c r="M890" s="318"/>
    </row>
    <row r="891" spans="2:13" ht="15">
      <c r="B891" s="517"/>
      <c r="C891" s="318"/>
      <c r="D891" s="318"/>
      <c r="E891" s="318"/>
      <c r="F891" s="318"/>
      <c r="G891" s="318"/>
      <c r="H891" s="318"/>
      <c r="I891" s="318"/>
      <c r="J891" s="318"/>
      <c r="K891" s="318"/>
      <c r="L891" s="318"/>
      <c r="M891" s="318"/>
    </row>
    <row r="892" spans="2:13" ht="15">
      <c r="B892" s="517"/>
      <c r="C892" s="318"/>
      <c r="D892" s="318"/>
      <c r="E892" s="318"/>
      <c r="F892" s="318"/>
      <c r="G892" s="318"/>
      <c r="H892" s="318"/>
      <c r="I892" s="318"/>
      <c r="J892" s="318"/>
      <c r="K892" s="318"/>
      <c r="L892" s="318"/>
      <c r="M892" s="318"/>
    </row>
    <row r="893" spans="2:13" ht="15">
      <c r="B893" s="517"/>
      <c r="C893" s="318"/>
      <c r="D893" s="318"/>
      <c r="E893" s="318"/>
      <c r="F893" s="318"/>
      <c r="G893" s="318"/>
      <c r="H893" s="318"/>
      <c r="I893" s="318"/>
      <c r="J893" s="318"/>
      <c r="K893" s="318"/>
      <c r="L893" s="318"/>
      <c r="M893" s="318"/>
    </row>
    <row r="894" spans="2:13" ht="15">
      <c r="B894" s="517"/>
      <c r="C894" s="318"/>
      <c r="D894" s="318"/>
      <c r="E894" s="318"/>
      <c r="F894" s="318"/>
      <c r="G894" s="318"/>
      <c r="H894" s="318"/>
      <c r="I894" s="318"/>
      <c r="J894" s="318"/>
      <c r="K894" s="318"/>
      <c r="L894" s="318"/>
      <c r="M894" s="318"/>
    </row>
    <row r="895" spans="2:13" ht="15">
      <c r="B895" s="517"/>
      <c r="C895" s="318"/>
      <c r="D895" s="318"/>
      <c r="E895" s="318"/>
      <c r="F895" s="318"/>
      <c r="G895" s="318"/>
      <c r="H895" s="318"/>
      <c r="I895" s="318"/>
      <c r="J895" s="318"/>
      <c r="K895" s="318"/>
      <c r="L895" s="318"/>
      <c r="M895" s="318"/>
    </row>
    <row r="896" spans="2:13" ht="15">
      <c r="B896" s="517"/>
      <c r="C896" s="318"/>
      <c r="D896" s="318"/>
      <c r="E896" s="318"/>
      <c r="F896" s="318"/>
      <c r="G896" s="318"/>
      <c r="H896" s="318"/>
      <c r="I896" s="318"/>
      <c r="J896" s="318"/>
      <c r="K896" s="318"/>
      <c r="L896" s="318"/>
      <c r="M896" s="318"/>
    </row>
    <row r="897" spans="2:13" ht="15">
      <c r="B897" s="517"/>
      <c r="C897" s="318"/>
      <c r="D897" s="318"/>
      <c r="E897" s="318"/>
      <c r="F897" s="318"/>
      <c r="G897" s="318"/>
      <c r="H897" s="318"/>
      <c r="I897" s="318"/>
      <c r="J897" s="318"/>
      <c r="K897" s="318"/>
      <c r="L897" s="318"/>
      <c r="M897" s="318"/>
    </row>
    <row r="898" spans="2:13" ht="15">
      <c r="B898" s="517"/>
      <c r="C898" s="318"/>
      <c r="D898" s="318"/>
      <c r="E898" s="318"/>
      <c r="F898" s="318"/>
      <c r="G898" s="318"/>
      <c r="H898" s="318"/>
      <c r="I898" s="318"/>
      <c r="J898" s="318"/>
      <c r="K898" s="318"/>
      <c r="L898" s="318"/>
      <c r="M898" s="318"/>
    </row>
    <row r="899" spans="2:13" ht="15">
      <c r="B899" s="517"/>
      <c r="C899" s="318"/>
      <c r="D899" s="318"/>
      <c r="E899" s="318"/>
      <c r="F899" s="318"/>
      <c r="G899" s="318"/>
      <c r="H899" s="318"/>
      <c r="I899" s="318"/>
      <c r="J899" s="318"/>
      <c r="K899" s="318"/>
      <c r="L899" s="318"/>
      <c r="M899" s="318"/>
    </row>
    <row r="900" spans="2:13" ht="15">
      <c r="B900" s="517"/>
      <c r="C900" s="318"/>
      <c r="D900" s="318"/>
      <c r="E900" s="318"/>
      <c r="F900" s="318"/>
      <c r="G900" s="318"/>
      <c r="H900" s="318"/>
      <c r="I900" s="318"/>
      <c r="J900" s="318"/>
      <c r="K900" s="318"/>
      <c r="L900" s="318"/>
      <c r="M900" s="318"/>
    </row>
    <row r="901" spans="2:13" ht="15">
      <c r="B901" s="517"/>
      <c r="C901" s="318"/>
      <c r="D901" s="318"/>
      <c r="E901" s="318"/>
      <c r="F901" s="318"/>
      <c r="G901" s="318"/>
      <c r="H901" s="318"/>
      <c r="I901" s="318"/>
      <c r="J901" s="318"/>
      <c r="K901" s="318"/>
      <c r="L901" s="318"/>
      <c r="M901" s="318"/>
    </row>
    <row r="902" spans="2:13" ht="15">
      <c r="B902" s="517"/>
      <c r="C902" s="318"/>
      <c r="D902" s="318"/>
      <c r="E902" s="318"/>
      <c r="F902" s="318"/>
      <c r="G902" s="318"/>
      <c r="H902" s="318"/>
      <c r="I902" s="318"/>
      <c r="J902" s="318"/>
      <c r="K902" s="318"/>
      <c r="L902" s="318"/>
      <c r="M902" s="318"/>
    </row>
    <row r="903" spans="2:13" ht="15">
      <c r="B903" s="517"/>
      <c r="C903" s="318"/>
      <c r="D903" s="318"/>
      <c r="E903" s="318"/>
      <c r="F903" s="318"/>
      <c r="G903" s="318"/>
      <c r="H903" s="318"/>
      <c r="I903" s="318"/>
      <c r="J903" s="318"/>
      <c r="K903" s="318"/>
      <c r="L903" s="318"/>
      <c r="M903" s="318"/>
    </row>
    <row r="904" spans="2:13" ht="15">
      <c r="B904" s="517"/>
      <c r="C904" s="318"/>
      <c r="D904" s="318"/>
      <c r="E904" s="318"/>
      <c r="F904" s="318"/>
      <c r="G904" s="318"/>
      <c r="H904" s="318"/>
      <c r="I904" s="318"/>
      <c r="J904" s="318"/>
      <c r="K904" s="318"/>
      <c r="L904" s="318"/>
      <c r="M904" s="318"/>
    </row>
    <row r="905" spans="2:13" ht="15">
      <c r="B905" s="517"/>
      <c r="C905" s="318"/>
      <c r="D905" s="318"/>
      <c r="E905" s="318"/>
      <c r="F905" s="318"/>
      <c r="G905" s="318"/>
      <c r="H905" s="318"/>
      <c r="I905" s="318"/>
      <c r="J905" s="318"/>
      <c r="K905" s="318"/>
      <c r="L905" s="318"/>
      <c r="M905" s="318"/>
    </row>
    <row r="906" spans="2:13" ht="15">
      <c r="B906" s="517"/>
      <c r="C906" s="318"/>
      <c r="D906" s="318"/>
      <c r="E906" s="318"/>
      <c r="F906" s="318"/>
      <c r="G906" s="318"/>
      <c r="H906" s="318"/>
      <c r="I906" s="318"/>
      <c r="J906" s="318"/>
      <c r="K906" s="318"/>
      <c r="L906" s="318"/>
      <c r="M906" s="318"/>
    </row>
    <row r="907" spans="2:13" ht="15">
      <c r="B907" s="517"/>
      <c r="C907" s="318"/>
      <c r="D907" s="318"/>
      <c r="E907" s="318"/>
      <c r="F907" s="318"/>
      <c r="G907" s="318"/>
      <c r="H907" s="318"/>
      <c r="I907" s="318"/>
      <c r="J907" s="318"/>
      <c r="K907" s="318"/>
      <c r="L907" s="318"/>
      <c r="M907" s="318"/>
    </row>
    <row r="908" spans="2:13" ht="15">
      <c r="B908" s="517"/>
      <c r="C908" s="318"/>
      <c r="D908" s="318"/>
      <c r="E908" s="318"/>
      <c r="F908" s="318"/>
      <c r="G908" s="318"/>
      <c r="H908" s="318"/>
      <c r="I908" s="318"/>
      <c r="J908" s="318"/>
      <c r="K908" s="318"/>
      <c r="L908" s="318"/>
      <c r="M908" s="318"/>
    </row>
    <row r="909" spans="2:13" ht="15">
      <c r="B909" s="517"/>
      <c r="C909" s="318"/>
      <c r="D909" s="318"/>
      <c r="E909" s="318"/>
      <c r="F909" s="318"/>
      <c r="G909" s="318"/>
      <c r="H909" s="318"/>
      <c r="I909" s="318"/>
      <c r="J909" s="318"/>
      <c r="K909" s="318"/>
      <c r="L909" s="318"/>
      <c r="M909" s="318"/>
    </row>
    <row r="910" spans="2:13" ht="15">
      <c r="B910" s="517"/>
      <c r="C910" s="318"/>
      <c r="D910" s="318"/>
      <c r="E910" s="318"/>
      <c r="F910" s="318"/>
      <c r="G910" s="318"/>
      <c r="H910" s="318"/>
      <c r="I910" s="318"/>
      <c r="J910" s="318"/>
      <c r="K910" s="318"/>
      <c r="L910" s="318"/>
      <c r="M910" s="318"/>
    </row>
    <row r="911" spans="2:13" ht="15">
      <c r="B911" s="517"/>
      <c r="C911" s="318"/>
      <c r="D911" s="318"/>
      <c r="E911" s="318"/>
      <c r="F911" s="318"/>
      <c r="G911" s="318"/>
      <c r="H911" s="318"/>
      <c r="I911" s="318"/>
      <c r="J911" s="318"/>
      <c r="K911" s="318"/>
      <c r="L911" s="318"/>
      <c r="M911" s="318"/>
    </row>
    <row r="912" spans="2:13" ht="15">
      <c r="B912" s="517"/>
      <c r="C912" s="318"/>
      <c r="D912" s="318"/>
      <c r="E912" s="318"/>
      <c r="F912" s="318"/>
      <c r="G912" s="318"/>
      <c r="H912" s="318"/>
      <c r="I912" s="318"/>
      <c r="J912" s="318"/>
      <c r="K912" s="318"/>
      <c r="L912" s="318"/>
      <c r="M912" s="318"/>
    </row>
    <row r="913" spans="2:13" ht="15">
      <c r="B913" s="517"/>
      <c r="C913" s="318"/>
      <c r="D913" s="318"/>
      <c r="E913" s="318"/>
      <c r="F913" s="318"/>
      <c r="G913" s="318"/>
      <c r="H913" s="318"/>
      <c r="I913" s="318"/>
      <c r="J913" s="318"/>
      <c r="K913" s="318"/>
      <c r="L913" s="318"/>
      <c r="M913" s="318"/>
    </row>
    <row r="914" spans="2:13" ht="15">
      <c r="B914" s="517"/>
      <c r="C914" s="318"/>
      <c r="D914" s="318"/>
      <c r="E914" s="318"/>
      <c r="F914" s="318"/>
      <c r="G914" s="318"/>
      <c r="H914" s="318"/>
      <c r="I914" s="318"/>
      <c r="J914" s="318"/>
      <c r="K914" s="318"/>
      <c r="L914" s="318"/>
      <c r="M914" s="318"/>
    </row>
    <row r="915" spans="2:13" ht="15">
      <c r="B915" s="517"/>
      <c r="C915" s="318"/>
      <c r="D915" s="318"/>
      <c r="E915" s="318"/>
      <c r="F915" s="318"/>
      <c r="G915" s="318"/>
      <c r="H915" s="318"/>
      <c r="I915" s="318"/>
      <c r="J915" s="318"/>
      <c r="K915" s="318"/>
      <c r="L915" s="318"/>
      <c r="M915" s="318"/>
    </row>
    <row r="916" spans="2:13" ht="15">
      <c r="B916" s="517"/>
      <c r="C916" s="318"/>
      <c r="D916" s="318"/>
      <c r="E916" s="318"/>
      <c r="F916" s="318"/>
      <c r="G916" s="318"/>
      <c r="H916" s="318"/>
      <c r="I916" s="318"/>
      <c r="J916" s="318"/>
      <c r="K916" s="318"/>
      <c r="L916" s="318"/>
      <c r="M916" s="318"/>
    </row>
    <row r="917" spans="2:13" ht="15">
      <c r="B917" s="517"/>
      <c r="C917" s="318"/>
      <c r="D917" s="318"/>
      <c r="E917" s="318"/>
      <c r="F917" s="318"/>
      <c r="G917" s="318"/>
      <c r="H917" s="318"/>
      <c r="I917" s="318"/>
      <c r="J917" s="318"/>
      <c r="K917" s="318"/>
      <c r="L917" s="318"/>
      <c r="M917" s="318"/>
    </row>
    <row r="918" spans="2:13" ht="15">
      <c r="B918" s="517"/>
      <c r="C918" s="318"/>
      <c r="D918" s="318"/>
      <c r="E918" s="318"/>
      <c r="F918" s="318"/>
      <c r="G918" s="318"/>
      <c r="H918" s="318"/>
      <c r="I918" s="318"/>
      <c r="J918" s="318"/>
      <c r="K918" s="318"/>
      <c r="L918" s="318"/>
      <c r="M918" s="318"/>
    </row>
    <row r="919" spans="2:13" ht="15">
      <c r="B919" s="517"/>
      <c r="C919" s="318"/>
      <c r="D919" s="318"/>
      <c r="E919" s="318"/>
      <c r="F919" s="318"/>
      <c r="G919" s="318"/>
      <c r="H919" s="318"/>
      <c r="I919" s="318"/>
      <c r="J919" s="318"/>
      <c r="K919" s="318"/>
      <c r="L919" s="318"/>
      <c r="M919" s="318"/>
    </row>
    <row r="920" spans="2:13" ht="15">
      <c r="B920" s="517"/>
      <c r="C920" s="318"/>
      <c r="D920" s="318"/>
      <c r="E920" s="318"/>
      <c r="F920" s="318"/>
      <c r="G920" s="318"/>
      <c r="H920" s="318"/>
      <c r="I920" s="318"/>
      <c r="J920" s="318"/>
      <c r="K920" s="318"/>
      <c r="L920" s="318"/>
      <c r="M920" s="318"/>
    </row>
    <row r="921" spans="2:13" ht="15">
      <c r="B921" s="517"/>
      <c r="C921" s="318"/>
      <c r="D921" s="318"/>
      <c r="E921" s="318"/>
      <c r="F921" s="318"/>
      <c r="G921" s="318"/>
      <c r="H921" s="318"/>
      <c r="I921" s="318"/>
      <c r="J921" s="318"/>
      <c r="K921" s="318"/>
      <c r="L921" s="318"/>
      <c r="M921" s="318"/>
    </row>
    <row r="922" spans="2:13" ht="15">
      <c r="B922" s="517"/>
      <c r="C922" s="318"/>
      <c r="D922" s="318"/>
      <c r="E922" s="318"/>
      <c r="F922" s="318"/>
      <c r="G922" s="318"/>
      <c r="H922" s="318"/>
      <c r="I922" s="318"/>
      <c r="J922" s="318"/>
      <c r="K922" s="318"/>
      <c r="L922" s="318"/>
      <c r="M922" s="318"/>
    </row>
    <row r="923" spans="2:13" ht="15">
      <c r="B923" s="517"/>
      <c r="C923" s="318"/>
      <c r="D923" s="318"/>
      <c r="E923" s="318"/>
      <c r="F923" s="318"/>
      <c r="G923" s="318"/>
      <c r="H923" s="318"/>
      <c r="I923" s="318"/>
      <c r="J923" s="318"/>
      <c r="K923" s="318"/>
      <c r="L923" s="318"/>
      <c r="M923" s="318"/>
    </row>
    <row r="924" spans="2:13" ht="15">
      <c r="B924" s="517"/>
      <c r="C924" s="318"/>
      <c r="D924" s="318"/>
      <c r="E924" s="318"/>
      <c r="F924" s="318"/>
      <c r="G924" s="318"/>
      <c r="H924" s="318"/>
      <c r="I924" s="318"/>
      <c r="J924" s="318"/>
      <c r="K924" s="318"/>
      <c r="L924" s="318"/>
      <c r="M924" s="318"/>
    </row>
    <row r="925" spans="2:13" ht="15">
      <c r="B925" s="517"/>
      <c r="C925" s="318"/>
      <c r="D925" s="318"/>
      <c r="E925" s="318"/>
      <c r="F925" s="318"/>
      <c r="G925" s="318"/>
      <c r="H925" s="318"/>
      <c r="I925" s="318"/>
      <c r="J925" s="318"/>
      <c r="K925" s="318"/>
      <c r="L925" s="318"/>
      <c r="M925" s="318"/>
    </row>
    <row r="926" spans="2:13" ht="15">
      <c r="B926" s="517"/>
      <c r="C926" s="318"/>
      <c r="D926" s="318"/>
      <c r="E926" s="318"/>
      <c r="F926" s="318"/>
      <c r="G926" s="318"/>
      <c r="H926" s="318"/>
      <c r="I926" s="318"/>
      <c r="J926" s="318"/>
      <c r="K926" s="318"/>
      <c r="L926" s="318"/>
      <c r="M926" s="318"/>
    </row>
    <row r="927" spans="2:13" ht="15">
      <c r="B927" s="517"/>
      <c r="C927" s="318"/>
      <c r="D927" s="318"/>
      <c r="E927" s="318"/>
      <c r="F927" s="318"/>
      <c r="G927" s="318"/>
      <c r="H927" s="318"/>
      <c r="I927" s="318"/>
      <c r="J927" s="318"/>
      <c r="K927" s="318"/>
      <c r="L927" s="318"/>
      <c r="M927" s="318"/>
    </row>
    <row r="928" spans="2:13" ht="15">
      <c r="B928" s="517"/>
      <c r="C928" s="318"/>
      <c r="D928" s="318"/>
      <c r="E928" s="318"/>
      <c r="F928" s="318"/>
      <c r="G928" s="318"/>
      <c r="H928" s="318"/>
      <c r="I928" s="318"/>
      <c r="J928" s="318"/>
      <c r="K928" s="318"/>
      <c r="L928" s="318"/>
      <c r="M928" s="318"/>
    </row>
    <row r="929" spans="2:13" ht="15">
      <c r="B929" s="517"/>
      <c r="C929" s="318"/>
      <c r="D929" s="318"/>
      <c r="E929" s="318"/>
      <c r="F929" s="318"/>
      <c r="G929" s="318"/>
      <c r="H929" s="318"/>
      <c r="I929" s="318"/>
      <c r="J929" s="318"/>
      <c r="K929" s="318"/>
      <c r="L929" s="318"/>
      <c r="M929" s="318"/>
    </row>
    <row r="930" spans="2:13" ht="15">
      <c r="B930" s="517"/>
      <c r="C930" s="318"/>
      <c r="D930" s="318"/>
      <c r="E930" s="318"/>
      <c r="F930" s="318"/>
      <c r="G930" s="318"/>
      <c r="H930" s="318"/>
      <c r="I930" s="318"/>
      <c r="J930" s="318"/>
      <c r="K930" s="318"/>
      <c r="L930" s="318"/>
      <c r="M930" s="318"/>
    </row>
    <row r="931" spans="2:13" ht="15">
      <c r="B931" s="517"/>
      <c r="C931" s="318"/>
      <c r="D931" s="318"/>
      <c r="E931" s="318"/>
      <c r="F931" s="318"/>
      <c r="G931" s="318"/>
      <c r="H931" s="318"/>
      <c r="I931" s="318"/>
      <c r="J931" s="318"/>
      <c r="K931" s="318"/>
      <c r="L931" s="318"/>
      <c r="M931" s="318"/>
    </row>
    <row r="932" spans="2:13" ht="15">
      <c r="B932" s="517"/>
      <c r="C932" s="318"/>
      <c r="D932" s="318"/>
      <c r="E932" s="318"/>
      <c r="F932" s="318"/>
      <c r="G932" s="318"/>
      <c r="H932" s="318"/>
      <c r="I932" s="318"/>
      <c r="J932" s="318"/>
      <c r="K932" s="318"/>
      <c r="L932" s="318"/>
      <c r="M932" s="318"/>
    </row>
    <row r="933" spans="2:13" ht="15">
      <c r="B933" s="517"/>
      <c r="C933" s="318"/>
      <c r="D933" s="318"/>
      <c r="E933" s="318"/>
      <c r="F933" s="318"/>
      <c r="G933" s="318"/>
      <c r="H933" s="318"/>
      <c r="I933" s="318"/>
      <c r="J933" s="318"/>
      <c r="K933" s="318"/>
      <c r="L933" s="318"/>
      <c r="M933" s="318"/>
    </row>
    <row r="934" spans="2:13" ht="15">
      <c r="B934" s="517"/>
      <c r="C934" s="318"/>
      <c r="D934" s="318"/>
      <c r="E934" s="318"/>
      <c r="F934" s="318"/>
      <c r="G934" s="318"/>
      <c r="H934" s="318"/>
      <c r="I934" s="318"/>
      <c r="J934" s="318"/>
      <c r="K934" s="318"/>
      <c r="L934" s="318"/>
      <c r="M934" s="318"/>
    </row>
    <row r="935" spans="2:13" ht="15">
      <c r="B935" s="517"/>
      <c r="C935" s="318"/>
      <c r="D935" s="318"/>
      <c r="E935" s="318"/>
      <c r="F935" s="318"/>
      <c r="G935" s="318"/>
      <c r="H935" s="318"/>
      <c r="I935" s="318"/>
      <c r="J935" s="318"/>
      <c r="K935" s="318"/>
      <c r="L935" s="318"/>
      <c r="M935" s="318"/>
    </row>
    <row r="936" spans="2:13" ht="15">
      <c r="B936" s="517"/>
      <c r="C936" s="318"/>
      <c r="D936" s="318"/>
      <c r="E936" s="318"/>
      <c r="F936" s="318"/>
      <c r="G936" s="318"/>
      <c r="H936" s="318"/>
      <c r="I936" s="318"/>
      <c r="J936" s="318"/>
      <c r="K936" s="318"/>
      <c r="L936" s="318"/>
      <c r="M936" s="318"/>
    </row>
    <row r="937" spans="2:13" ht="15">
      <c r="B937" s="517"/>
      <c r="C937" s="318"/>
      <c r="D937" s="318"/>
      <c r="E937" s="318"/>
      <c r="F937" s="318"/>
      <c r="G937" s="318"/>
      <c r="H937" s="318"/>
      <c r="I937" s="318"/>
      <c r="J937" s="318"/>
      <c r="K937" s="318"/>
      <c r="L937" s="318"/>
      <c r="M937" s="318"/>
    </row>
    <row r="938" spans="2:13" ht="15">
      <c r="B938" s="517"/>
      <c r="C938" s="318"/>
      <c r="D938" s="318"/>
      <c r="E938" s="318"/>
      <c r="F938" s="318"/>
      <c r="G938" s="318"/>
      <c r="H938" s="318"/>
      <c r="I938" s="318"/>
      <c r="J938" s="318"/>
      <c r="K938" s="318"/>
      <c r="L938" s="318"/>
      <c r="M938" s="318"/>
    </row>
    <row r="939" spans="2:13" ht="15">
      <c r="B939" s="517"/>
      <c r="C939" s="318"/>
      <c r="D939" s="318"/>
      <c r="E939" s="318"/>
      <c r="F939" s="318"/>
      <c r="G939" s="318"/>
      <c r="H939" s="318"/>
      <c r="I939" s="318"/>
      <c r="J939" s="318"/>
      <c r="K939" s="318"/>
      <c r="L939" s="318"/>
      <c r="M939" s="318"/>
    </row>
    <row r="940" spans="2:13" ht="15">
      <c r="B940" s="517"/>
      <c r="C940" s="318"/>
      <c r="D940" s="318"/>
      <c r="E940" s="318"/>
      <c r="F940" s="318"/>
      <c r="G940" s="318"/>
      <c r="H940" s="318"/>
      <c r="I940" s="318"/>
      <c r="J940" s="318"/>
      <c r="K940" s="318"/>
      <c r="L940" s="318"/>
      <c r="M940" s="318"/>
    </row>
    <row r="941" spans="2:13" ht="15">
      <c r="B941" s="517"/>
      <c r="C941" s="318"/>
      <c r="D941" s="318"/>
      <c r="E941" s="318"/>
      <c r="F941" s="318"/>
      <c r="G941" s="318"/>
      <c r="H941" s="318"/>
      <c r="I941" s="318"/>
      <c r="J941" s="318"/>
      <c r="K941" s="318"/>
      <c r="L941" s="318"/>
      <c r="M941" s="318"/>
    </row>
    <row r="942" spans="2:13" ht="15">
      <c r="B942" s="517"/>
      <c r="C942" s="318"/>
      <c r="D942" s="318"/>
      <c r="E942" s="318"/>
      <c r="F942" s="318"/>
      <c r="G942" s="318"/>
      <c r="H942" s="318"/>
      <c r="I942" s="318"/>
      <c r="J942" s="318"/>
      <c r="K942" s="318"/>
      <c r="L942" s="318"/>
      <c r="M942" s="318"/>
    </row>
    <row r="943" spans="2:13" ht="15">
      <c r="B943" s="517"/>
      <c r="C943" s="318"/>
      <c r="D943" s="318"/>
      <c r="E943" s="318"/>
      <c r="F943" s="318"/>
      <c r="G943" s="318"/>
      <c r="H943" s="318"/>
      <c r="I943" s="318"/>
      <c r="J943" s="318"/>
      <c r="K943" s="318"/>
      <c r="L943" s="318"/>
      <c r="M943" s="318"/>
    </row>
    <row r="944" spans="2:13" ht="15">
      <c r="B944" s="517"/>
      <c r="C944" s="318"/>
      <c r="D944" s="318"/>
      <c r="E944" s="318"/>
      <c r="F944" s="318"/>
      <c r="G944" s="318"/>
      <c r="H944" s="318"/>
      <c r="I944" s="318"/>
      <c r="J944" s="318"/>
      <c r="K944" s="318"/>
      <c r="L944" s="318"/>
      <c r="M944" s="318"/>
    </row>
    <row r="945" spans="2:13" ht="15">
      <c r="B945" s="517"/>
      <c r="C945" s="318"/>
      <c r="D945" s="318"/>
      <c r="E945" s="318"/>
      <c r="F945" s="318"/>
      <c r="G945" s="318"/>
      <c r="H945" s="318"/>
      <c r="I945" s="318"/>
      <c r="J945" s="318"/>
      <c r="K945" s="318"/>
      <c r="L945" s="318"/>
      <c r="M945" s="318"/>
    </row>
    <row r="946" spans="2:13" ht="15">
      <c r="B946" s="517"/>
      <c r="C946" s="318"/>
      <c r="D946" s="318"/>
      <c r="E946" s="318"/>
      <c r="F946" s="318"/>
      <c r="G946" s="318"/>
      <c r="H946" s="318"/>
      <c r="I946" s="318"/>
      <c r="J946" s="318"/>
      <c r="K946" s="318"/>
      <c r="L946" s="318"/>
      <c r="M946" s="318"/>
    </row>
    <row r="947" spans="2:13" ht="15">
      <c r="B947" s="517"/>
      <c r="C947" s="318"/>
      <c r="D947" s="318"/>
      <c r="E947" s="318"/>
      <c r="F947" s="318"/>
      <c r="G947" s="318"/>
      <c r="H947" s="318"/>
      <c r="I947" s="318"/>
      <c r="J947" s="318"/>
      <c r="K947" s="318"/>
      <c r="L947" s="318"/>
      <c r="M947" s="318"/>
    </row>
    <row r="948" spans="2:13" ht="15">
      <c r="B948" s="517"/>
      <c r="C948" s="318"/>
      <c r="D948" s="318"/>
      <c r="E948" s="318"/>
      <c r="F948" s="318"/>
      <c r="G948" s="318"/>
      <c r="H948" s="318"/>
      <c r="I948" s="318"/>
      <c r="J948" s="318"/>
      <c r="K948" s="318"/>
      <c r="L948" s="318"/>
      <c r="M948" s="318"/>
    </row>
    <row r="949" spans="2:13" ht="15">
      <c r="B949" s="517"/>
      <c r="C949" s="318"/>
      <c r="D949" s="318"/>
      <c r="E949" s="318"/>
      <c r="F949" s="318"/>
      <c r="G949" s="318"/>
      <c r="H949" s="318"/>
      <c r="I949" s="318"/>
      <c r="J949" s="318"/>
      <c r="K949" s="318"/>
      <c r="L949" s="318"/>
      <c r="M949" s="318"/>
    </row>
    <row r="950" spans="2:13" ht="15">
      <c r="B950" s="517"/>
      <c r="C950" s="318"/>
      <c r="D950" s="318"/>
      <c r="E950" s="318"/>
      <c r="F950" s="318"/>
      <c r="G950" s="318"/>
      <c r="H950" s="318"/>
      <c r="I950" s="318"/>
      <c r="J950" s="318"/>
      <c r="K950" s="318"/>
      <c r="L950" s="318"/>
      <c r="M950" s="318"/>
    </row>
    <row r="951" spans="2:13" ht="15">
      <c r="B951" s="517"/>
      <c r="C951" s="318"/>
      <c r="D951" s="318"/>
      <c r="E951" s="318"/>
      <c r="F951" s="318"/>
      <c r="G951" s="318"/>
      <c r="H951" s="318"/>
      <c r="I951" s="318"/>
      <c r="J951" s="318"/>
      <c r="K951" s="318"/>
      <c r="L951" s="318"/>
      <c r="M951" s="318"/>
    </row>
    <row r="952" spans="2:13" ht="15">
      <c r="B952" s="517"/>
      <c r="C952" s="318"/>
      <c r="D952" s="318"/>
      <c r="E952" s="318"/>
      <c r="F952" s="318"/>
      <c r="G952" s="318"/>
      <c r="H952" s="318"/>
      <c r="I952" s="318"/>
      <c r="J952" s="318"/>
      <c r="K952" s="318"/>
      <c r="L952" s="318"/>
      <c r="M952" s="318"/>
    </row>
    <row r="953" spans="2:13" ht="15">
      <c r="B953" s="517"/>
      <c r="C953" s="318"/>
      <c r="D953" s="318"/>
      <c r="E953" s="318"/>
      <c r="F953" s="318"/>
      <c r="G953" s="318"/>
      <c r="H953" s="318"/>
      <c r="I953" s="318"/>
      <c r="J953" s="318"/>
      <c r="K953" s="318"/>
      <c r="L953" s="318"/>
      <c r="M953" s="318"/>
    </row>
    <row r="954" spans="2:13" ht="15">
      <c r="B954" s="517"/>
      <c r="C954" s="318"/>
      <c r="D954" s="318"/>
      <c r="E954" s="318"/>
      <c r="F954" s="318"/>
      <c r="G954" s="318"/>
      <c r="H954" s="318"/>
      <c r="I954" s="318"/>
      <c r="J954" s="318"/>
      <c r="K954" s="318"/>
      <c r="L954" s="318"/>
      <c r="M954" s="318"/>
    </row>
    <row r="955" spans="2:13" ht="15">
      <c r="B955" s="517"/>
      <c r="C955" s="318"/>
      <c r="D955" s="318"/>
      <c r="E955" s="318"/>
      <c r="F955" s="318"/>
      <c r="G955" s="318"/>
      <c r="H955" s="318"/>
      <c r="I955" s="318"/>
      <c r="J955" s="318"/>
      <c r="K955" s="318"/>
      <c r="L955" s="318"/>
      <c r="M955" s="318"/>
    </row>
    <row r="956" spans="2:13" ht="15">
      <c r="B956" s="517"/>
      <c r="C956" s="318"/>
      <c r="D956" s="318"/>
      <c r="E956" s="318"/>
      <c r="F956" s="318"/>
      <c r="G956" s="318"/>
      <c r="H956" s="318"/>
      <c r="I956" s="318"/>
      <c r="J956" s="318"/>
      <c r="K956" s="318"/>
      <c r="L956" s="318"/>
      <c r="M956" s="318"/>
    </row>
    <row r="957" spans="2:13" ht="15">
      <c r="B957" s="517"/>
      <c r="C957" s="318"/>
      <c r="D957" s="318"/>
      <c r="E957" s="318"/>
      <c r="F957" s="318"/>
      <c r="G957" s="318"/>
      <c r="H957" s="318"/>
      <c r="I957" s="318"/>
      <c r="J957" s="318"/>
      <c r="K957" s="318"/>
      <c r="L957" s="318"/>
      <c r="M957" s="318"/>
    </row>
    <row r="958" spans="2:13" ht="15">
      <c r="B958" s="517"/>
      <c r="C958" s="318"/>
      <c r="D958" s="318"/>
      <c r="E958" s="318"/>
      <c r="F958" s="318"/>
      <c r="G958" s="318"/>
      <c r="H958" s="318"/>
      <c r="I958" s="318"/>
      <c r="J958" s="318"/>
      <c r="K958" s="318"/>
      <c r="L958" s="318"/>
      <c r="M958" s="318"/>
    </row>
    <row r="959" spans="2:13" ht="15">
      <c r="B959" s="517"/>
      <c r="C959" s="318"/>
      <c r="D959" s="318"/>
      <c r="E959" s="318"/>
      <c r="F959" s="318"/>
      <c r="G959" s="318"/>
      <c r="H959" s="318"/>
      <c r="I959" s="318"/>
      <c r="J959" s="318"/>
      <c r="K959" s="318"/>
      <c r="L959" s="318"/>
      <c r="M959" s="318"/>
    </row>
    <row r="960" spans="2:13" ht="15">
      <c r="B960" s="517"/>
      <c r="C960" s="318"/>
      <c r="D960" s="318"/>
      <c r="E960" s="318"/>
      <c r="F960" s="318"/>
      <c r="G960" s="318"/>
      <c r="H960" s="318"/>
      <c r="I960" s="318"/>
      <c r="J960" s="318"/>
      <c r="K960" s="318"/>
      <c r="L960" s="318"/>
      <c r="M960" s="318"/>
    </row>
    <row r="961" spans="2:13" ht="15">
      <c r="B961" s="517"/>
      <c r="C961" s="318"/>
      <c r="D961" s="318"/>
      <c r="E961" s="318"/>
      <c r="F961" s="318"/>
      <c r="G961" s="318"/>
      <c r="H961" s="318"/>
      <c r="I961" s="318"/>
      <c r="J961" s="318"/>
      <c r="K961" s="318"/>
      <c r="L961" s="318"/>
      <c r="M961" s="318"/>
    </row>
    <row r="962" spans="2:13" ht="15">
      <c r="B962" s="517"/>
      <c r="C962" s="318"/>
      <c r="D962" s="318"/>
      <c r="E962" s="318"/>
      <c r="F962" s="318"/>
      <c r="G962" s="318"/>
      <c r="H962" s="318"/>
      <c r="I962" s="318"/>
      <c r="J962" s="318"/>
      <c r="K962" s="318"/>
      <c r="L962" s="318"/>
      <c r="M962" s="318"/>
    </row>
    <row r="963" spans="2:13" ht="15">
      <c r="B963" s="517"/>
      <c r="C963" s="318"/>
      <c r="D963" s="318"/>
      <c r="E963" s="318"/>
      <c r="F963" s="318"/>
      <c r="G963" s="318"/>
      <c r="H963" s="318"/>
      <c r="I963" s="318"/>
      <c r="J963" s="318"/>
      <c r="K963" s="318"/>
      <c r="L963" s="318"/>
      <c r="M963" s="318"/>
    </row>
    <row r="964" spans="2:13" ht="15">
      <c r="B964" s="517"/>
      <c r="C964" s="318"/>
      <c r="D964" s="318"/>
      <c r="E964" s="318"/>
      <c r="F964" s="318"/>
      <c r="G964" s="318"/>
      <c r="H964" s="318"/>
      <c r="I964" s="318"/>
      <c r="J964" s="318"/>
      <c r="K964" s="318"/>
      <c r="L964" s="318"/>
      <c r="M964" s="318"/>
    </row>
    <row r="965" spans="2:13" ht="15">
      <c r="B965" s="517"/>
      <c r="C965" s="318"/>
      <c r="D965" s="318"/>
      <c r="E965" s="318"/>
      <c r="F965" s="318"/>
      <c r="G965" s="318"/>
      <c r="H965" s="318"/>
      <c r="I965" s="318"/>
      <c r="J965" s="318"/>
      <c r="K965" s="318"/>
      <c r="L965" s="318"/>
      <c r="M965" s="318"/>
    </row>
    <row r="966" spans="2:13" ht="15">
      <c r="B966" s="517"/>
      <c r="C966" s="318"/>
      <c r="D966" s="318"/>
      <c r="E966" s="318"/>
      <c r="F966" s="318"/>
      <c r="G966" s="318"/>
      <c r="H966" s="318"/>
      <c r="I966" s="318"/>
      <c r="J966" s="318"/>
      <c r="K966" s="318"/>
      <c r="L966" s="318"/>
      <c r="M966" s="318"/>
    </row>
    <row r="967" spans="2:13" ht="15">
      <c r="B967" s="517"/>
      <c r="C967" s="318"/>
      <c r="D967" s="318"/>
      <c r="E967" s="318"/>
      <c r="F967" s="318"/>
      <c r="G967" s="318"/>
      <c r="H967" s="318"/>
      <c r="I967" s="318"/>
      <c r="J967" s="318"/>
      <c r="K967" s="318"/>
      <c r="L967" s="318"/>
      <c r="M967" s="318"/>
    </row>
    <row r="968" spans="2:13" ht="15">
      <c r="B968" s="517"/>
      <c r="C968" s="318"/>
      <c r="D968" s="318"/>
      <c r="E968" s="318"/>
      <c r="F968" s="318"/>
      <c r="G968" s="318"/>
      <c r="H968" s="318"/>
      <c r="I968" s="318"/>
      <c r="J968" s="318"/>
      <c r="K968" s="318"/>
      <c r="L968" s="318"/>
      <c r="M968" s="318"/>
    </row>
    <row r="969" spans="2:13" ht="15">
      <c r="B969" s="517"/>
      <c r="C969" s="318"/>
      <c r="D969" s="318"/>
      <c r="E969" s="318"/>
      <c r="F969" s="318"/>
      <c r="G969" s="318"/>
      <c r="H969" s="318"/>
      <c r="I969" s="318"/>
      <c r="J969" s="318"/>
      <c r="K969" s="318"/>
      <c r="L969" s="318"/>
      <c r="M969" s="318"/>
    </row>
    <row r="970" spans="2:13" ht="15">
      <c r="B970" s="517"/>
      <c r="C970" s="318"/>
      <c r="D970" s="318"/>
      <c r="E970" s="318"/>
      <c r="F970" s="318"/>
      <c r="G970" s="318"/>
      <c r="H970" s="318"/>
      <c r="I970" s="318"/>
      <c r="J970" s="318"/>
      <c r="K970" s="318"/>
      <c r="L970" s="318"/>
      <c r="M970" s="318"/>
    </row>
    <row r="971" spans="2:13" ht="15">
      <c r="B971" s="517"/>
      <c r="C971" s="318"/>
      <c r="D971" s="318"/>
      <c r="E971" s="318"/>
      <c r="F971" s="318"/>
      <c r="G971" s="318"/>
      <c r="H971" s="318"/>
      <c r="I971" s="318"/>
      <c r="J971" s="318"/>
      <c r="K971" s="318"/>
      <c r="L971" s="318"/>
      <c r="M971" s="318"/>
    </row>
    <row r="972" spans="2:13" ht="15">
      <c r="B972" s="517"/>
      <c r="C972" s="318"/>
      <c r="D972" s="318"/>
      <c r="E972" s="318"/>
      <c r="F972" s="318"/>
      <c r="G972" s="318"/>
      <c r="H972" s="318"/>
      <c r="I972" s="318"/>
      <c r="J972" s="318"/>
      <c r="K972" s="318"/>
      <c r="L972" s="318"/>
      <c r="M972" s="318"/>
    </row>
    <row r="973" spans="2:13" ht="15">
      <c r="B973" s="517"/>
      <c r="C973" s="318"/>
      <c r="D973" s="318"/>
      <c r="E973" s="318"/>
      <c r="F973" s="318"/>
      <c r="G973" s="318"/>
      <c r="H973" s="318"/>
      <c r="I973" s="318"/>
      <c r="J973" s="318"/>
      <c r="K973" s="318"/>
      <c r="L973" s="318"/>
      <c r="M973" s="318"/>
    </row>
    <row r="974" spans="2:13" ht="15">
      <c r="B974" s="517"/>
      <c r="C974" s="318"/>
      <c r="D974" s="318"/>
      <c r="E974" s="318"/>
      <c r="F974" s="318"/>
      <c r="G974" s="318"/>
      <c r="H974" s="318"/>
      <c r="I974" s="318"/>
      <c r="J974" s="318"/>
      <c r="K974" s="318"/>
      <c r="L974" s="318"/>
      <c r="M974" s="318"/>
    </row>
    <row r="975" spans="2:13" ht="15">
      <c r="B975" s="517"/>
      <c r="C975" s="318"/>
      <c r="D975" s="318"/>
      <c r="E975" s="318"/>
      <c r="F975" s="318"/>
      <c r="G975" s="318"/>
      <c r="H975" s="318"/>
      <c r="I975" s="318"/>
      <c r="J975" s="318"/>
      <c r="K975" s="318"/>
      <c r="L975" s="318"/>
      <c r="M975" s="318"/>
    </row>
    <row r="976" spans="2:13" ht="15">
      <c r="B976" s="517"/>
      <c r="C976" s="318"/>
      <c r="D976" s="318"/>
      <c r="E976" s="318"/>
      <c r="F976" s="318"/>
      <c r="G976" s="318"/>
      <c r="H976" s="318"/>
      <c r="I976" s="318"/>
      <c r="J976" s="318"/>
      <c r="K976" s="318"/>
      <c r="L976" s="318"/>
      <c r="M976" s="318"/>
    </row>
    <row r="977" spans="2:13" ht="15">
      <c r="B977" s="517"/>
      <c r="C977" s="318"/>
      <c r="D977" s="318"/>
      <c r="E977" s="318"/>
      <c r="F977" s="318"/>
      <c r="G977" s="318"/>
      <c r="H977" s="318"/>
      <c r="I977" s="318"/>
      <c r="J977" s="318"/>
      <c r="K977" s="318"/>
      <c r="L977" s="318"/>
      <c r="M977" s="318"/>
    </row>
    <row r="978" spans="2:13" ht="15">
      <c r="B978" s="517"/>
      <c r="C978" s="318"/>
      <c r="D978" s="318"/>
      <c r="E978" s="318"/>
      <c r="F978" s="318"/>
      <c r="G978" s="318"/>
      <c r="H978" s="318"/>
      <c r="I978" s="318"/>
      <c r="J978" s="318"/>
      <c r="K978" s="318"/>
      <c r="L978" s="318"/>
      <c r="M978" s="318"/>
    </row>
    <row r="979" spans="2:13" ht="15">
      <c r="B979" s="517"/>
      <c r="C979" s="318"/>
      <c r="D979" s="318"/>
      <c r="E979" s="318"/>
      <c r="F979" s="318"/>
      <c r="G979" s="318"/>
      <c r="H979" s="318"/>
      <c r="I979" s="318"/>
      <c r="J979" s="318"/>
      <c r="K979" s="318"/>
      <c r="L979" s="318"/>
      <c r="M979" s="318"/>
    </row>
    <row r="980" spans="2:13" ht="15">
      <c r="B980" s="517"/>
      <c r="C980" s="318"/>
      <c r="D980" s="318"/>
      <c r="E980" s="318"/>
      <c r="F980" s="318"/>
      <c r="G980" s="318"/>
      <c r="H980" s="318"/>
      <c r="I980" s="318"/>
      <c r="J980" s="318"/>
      <c r="K980" s="318"/>
      <c r="L980" s="318"/>
      <c r="M980" s="318"/>
    </row>
    <row r="981" spans="2:13" ht="15">
      <c r="B981" s="517"/>
      <c r="C981" s="318"/>
      <c r="D981" s="318"/>
      <c r="E981" s="318"/>
      <c r="F981" s="318"/>
      <c r="G981" s="318"/>
      <c r="H981" s="318"/>
      <c r="I981" s="318"/>
      <c r="J981" s="318"/>
      <c r="K981" s="318"/>
      <c r="L981" s="318"/>
      <c r="M981" s="318"/>
    </row>
    <row r="982" spans="2:13" ht="15">
      <c r="B982" s="517"/>
      <c r="C982" s="318"/>
      <c r="D982" s="318"/>
      <c r="E982" s="318"/>
      <c r="F982" s="318"/>
      <c r="G982" s="318"/>
      <c r="H982" s="318"/>
      <c r="I982" s="318"/>
      <c r="J982" s="318"/>
      <c r="K982" s="318"/>
      <c r="L982" s="318"/>
      <c r="M982" s="318"/>
    </row>
    <row r="983" spans="2:13" ht="15">
      <c r="B983" s="517"/>
      <c r="C983" s="318"/>
      <c r="D983" s="318"/>
      <c r="E983" s="318"/>
      <c r="F983" s="318"/>
      <c r="G983" s="318"/>
      <c r="H983" s="318"/>
      <c r="I983" s="318"/>
      <c r="J983" s="318"/>
      <c r="K983" s="318"/>
      <c r="L983" s="318"/>
      <c r="M983" s="318"/>
    </row>
    <row r="984" spans="2:13" ht="15">
      <c r="B984" s="517"/>
      <c r="C984" s="318"/>
      <c r="D984" s="318"/>
      <c r="E984" s="318"/>
      <c r="F984" s="318"/>
      <c r="G984" s="318"/>
      <c r="H984" s="318"/>
      <c r="I984" s="318"/>
      <c r="J984" s="318"/>
      <c r="K984" s="318"/>
      <c r="L984" s="318"/>
      <c r="M984" s="318"/>
    </row>
    <row r="985" spans="2:13" ht="15">
      <c r="B985" s="517"/>
      <c r="C985" s="318"/>
      <c r="D985" s="318"/>
      <c r="E985" s="318"/>
      <c r="F985" s="318"/>
      <c r="G985" s="318"/>
      <c r="H985" s="318"/>
      <c r="I985" s="318"/>
      <c r="J985" s="318"/>
      <c r="K985" s="318"/>
      <c r="L985" s="318"/>
      <c r="M985" s="318"/>
    </row>
    <row r="986" spans="2:13" ht="15">
      <c r="B986" s="517"/>
      <c r="C986" s="318"/>
      <c r="D986" s="318"/>
      <c r="E986" s="318"/>
      <c r="F986" s="318"/>
      <c r="G986" s="318"/>
      <c r="H986" s="318"/>
      <c r="I986" s="318"/>
      <c r="J986" s="318"/>
      <c r="K986" s="318"/>
      <c r="L986" s="318"/>
      <c r="M986" s="318"/>
    </row>
    <row r="987" spans="2:13" ht="15">
      <c r="B987" s="517"/>
      <c r="C987" s="318"/>
      <c r="D987" s="318"/>
      <c r="E987" s="318"/>
      <c r="F987" s="318"/>
      <c r="G987" s="318"/>
      <c r="H987" s="318"/>
      <c r="I987" s="318"/>
      <c r="J987" s="318"/>
      <c r="K987" s="318"/>
      <c r="L987" s="318"/>
      <c r="M987" s="318"/>
    </row>
    <row r="988" spans="2:13" ht="15">
      <c r="B988" s="517"/>
      <c r="C988" s="318"/>
      <c r="D988" s="318"/>
      <c r="E988" s="318"/>
      <c r="F988" s="318"/>
      <c r="G988" s="318"/>
      <c r="H988" s="318"/>
      <c r="I988" s="318"/>
      <c r="J988" s="318"/>
      <c r="K988" s="318"/>
      <c r="L988" s="318"/>
      <c r="M988" s="318"/>
    </row>
    <row r="989" spans="2:13" ht="15">
      <c r="B989" s="517"/>
      <c r="C989" s="318"/>
      <c r="D989" s="318"/>
      <c r="E989" s="318"/>
      <c r="F989" s="318"/>
      <c r="G989" s="318"/>
      <c r="H989" s="318"/>
      <c r="I989" s="318"/>
      <c r="J989" s="318"/>
      <c r="K989" s="318"/>
      <c r="L989" s="318"/>
      <c r="M989" s="318"/>
    </row>
    <row r="990" spans="2:13" ht="15">
      <c r="B990" s="517"/>
      <c r="C990" s="318"/>
      <c r="D990" s="318"/>
      <c r="E990" s="318"/>
      <c r="F990" s="318"/>
      <c r="G990" s="318"/>
      <c r="H990" s="318"/>
      <c r="I990" s="318"/>
      <c r="J990" s="318"/>
      <c r="K990" s="318"/>
      <c r="L990" s="318"/>
      <c r="M990" s="318"/>
    </row>
    <row r="991" spans="2:13" ht="15">
      <c r="B991" s="517"/>
      <c r="C991" s="318"/>
      <c r="D991" s="318"/>
      <c r="E991" s="318"/>
      <c r="F991" s="318"/>
      <c r="G991" s="318"/>
      <c r="H991" s="318"/>
      <c r="I991" s="318"/>
      <c r="J991" s="318"/>
      <c r="K991" s="318"/>
      <c r="L991" s="318"/>
      <c r="M991" s="318"/>
    </row>
    <row r="992" spans="2:13" ht="15">
      <c r="B992" s="517"/>
      <c r="C992" s="318"/>
      <c r="D992" s="318"/>
      <c r="E992" s="318"/>
      <c r="F992" s="318"/>
      <c r="G992" s="318"/>
      <c r="H992" s="318"/>
      <c r="I992" s="318"/>
      <c r="J992" s="318"/>
      <c r="K992" s="318"/>
      <c r="L992" s="318"/>
      <c r="M992" s="318"/>
    </row>
    <row r="993" spans="2:13" ht="15">
      <c r="B993" s="517"/>
      <c r="C993" s="318"/>
      <c r="D993" s="318"/>
      <c r="E993" s="318"/>
      <c r="F993" s="318"/>
      <c r="G993" s="318"/>
      <c r="H993" s="318"/>
      <c r="I993" s="318"/>
      <c r="J993" s="318"/>
      <c r="K993" s="318"/>
      <c r="L993" s="318"/>
      <c r="M993" s="318"/>
    </row>
    <row r="994" spans="2:13" ht="15">
      <c r="B994" s="517"/>
      <c r="C994" s="318"/>
      <c r="D994" s="318"/>
      <c r="E994" s="318"/>
      <c r="F994" s="318"/>
      <c r="G994" s="318"/>
      <c r="H994" s="318"/>
      <c r="I994" s="318"/>
      <c r="J994" s="318"/>
      <c r="K994" s="318"/>
      <c r="L994" s="318"/>
      <c r="M994" s="318"/>
    </row>
    <row r="995" spans="2:13" ht="15">
      <c r="B995" s="517"/>
      <c r="C995" s="318"/>
      <c r="D995" s="318"/>
      <c r="E995" s="318"/>
      <c r="F995" s="318"/>
      <c r="G995" s="318"/>
      <c r="H995" s="318"/>
      <c r="I995" s="318"/>
      <c r="J995" s="318"/>
      <c r="K995" s="318"/>
      <c r="L995" s="318"/>
      <c r="M995" s="318"/>
    </row>
    <row r="996" spans="2:13" ht="15">
      <c r="B996" s="517"/>
      <c r="C996" s="318"/>
      <c r="D996" s="318"/>
      <c r="E996" s="318"/>
      <c r="F996" s="318"/>
      <c r="G996" s="318"/>
      <c r="H996" s="318"/>
      <c r="I996" s="318"/>
      <c r="J996" s="318"/>
      <c r="K996" s="318"/>
      <c r="L996" s="318"/>
      <c r="M996" s="318"/>
    </row>
    <row r="997" spans="2:13" ht="15">
      <c r="B997" s="517"/>
      <c r="C997" s="318"/>
      <c r="D997" s="318"/>
      <c r="E997" s="318"/>
      <c r="F997" s="318"/>
      <c r="G997" s="318"/>
      <c r="H997" s="318"/>
      <c r="I997" s="318"/>
      <c r="J997" s="318"/>
      <c r="K997" s="318"/>
      <c r="L997" s="318"/>
      <c r="M997" s="318"/>
    </row>
    <row r="998" spans="2:13" ht="15">
      <c r="B998" s="517"/>
      <c r="C998" s="318"/>
      <c r="D998" s="318"/>
      <c r="E998" s="318"/>
      <c r="F998" s="318"/>
      <c r="G998" s="318"/>
      <c r="H998" s="318"/>
      <c r="I998" s="318"/>
      <c r="J998" s="318"/>
      <c r="K998" s="318"/>
      <c r="L998" s="318"/>
      <c r="M998" s="318"/>
    </row>
    <row r="999" spans="2:13" ht="15">
      <c r="B999" s="517"/>
      <c r="C999" s="318"/>
      <c r="D999" s="318"/>
      <c r="E999" s="318"/>
      <c r="F999" s="318"/>
      <c r="G999" s="318"/>
      <c r="H999" s="318"/>
      <c r="I999" s="318"/>
      <c r="J999" s="318"/>
      <c r="K999" s="318"/>
      <c r="L999" s="318"/>
      <c r="M999" s="318"/>
    </row>
    <row r="1000" spans="2:13" ht="15">
      <c r="B1000" s="517"/>
      <c r="C1000" s="318"/>
      <c r="D1000" s="318"/>
      <c r="E1000" s="318"/>
      <c r="F1000" s="318"/>
      <c r="G1000" s="318"/>
      <c r="H1000" s="318"/>
      <c r="I1000" s="318"/>
      <c r="J1000" s="318"/>
      <c r="K1000" s="318"/>
      <c r="L1000" s="318"/>
      <c r="M1000" s="318"/>
    </row>
    <row r="1001" spans="2:13" ht="15">
      <c r="B1001" s="517"/>
      <c r="C1001" s="318"/>
      <c r="D1001" s="318"/>
      <c r="E1001" s="318"/>
      <c r="F1001" s="318"/>
      <c r="G1001" s="318"/>
      <c r="H1001" s="318"/>
      <c r="I1001" s="318"/>
      <c r="J1001" s="318"/>
      <c r="K1001" s="318"/>
      <c r="L1001" s="318"/>
      <c r="M1001" s="318"/>
    </row>
    <row r="1002" spans="2:13" ht="15">
      <c r="B1002" s="517"/>
      <c r="C1002" s="318"/>
      <c r="D1002" s="318"/>
      <c r="E1002" s="318"/>
      <c r="F1002" s="318"/>
      <c r="G1002" s="318"/>
      <c r="H1002" s="318"/>
      <c r="I1002" s="318"/>
      <c r="J1002" s="318"/>
      <c r="K1002" s="318"/>
      <c r="L1002" s="318"/>
      <c r="M1002" s="318"/>
    </row>
    <row r="1003" spans="2:13" ht="15">
      <c r="B1003" s="517"/>
      <c r="C1003" s="318"/>
      <c r="D1003" s="318"/>
      <c r="E1003" s="318"/>
      <c r="F1003" s="318"/>
      <c r="G1003" s="318"/>
      <c r="H1003" s="318"/>
      <c r="I1003" s="318"/>
      <c r="J1003" s="318"/>
      <c r="K1003" s="318"/>
      <c r="L1003" s="318"/>
      <c r="M1003" s="318"/>
    </row>
    <row r="1004" spans="2:13" ht="15">
      <c r="B1004" s="517"/>
      <c r="C1004" s="318"/>
      <c r="D1004" s="318"/>
      <c r="E1004" s="318"/>
      <c r="F1004" s="318"/>
      <c r="G1004" s="318"/>
      <c r="H1004" s="318"/>
      <c r="I1004" s="318"/>
      <c r="J1004" s="318"/>
      <c r="K1004" s="318"/>
      <c r="L1004" s="318"/>
      <c r="M1004" s="318"/>
    </row>
    <row r="1005" spans="2:13" ht="15">
      <c r="B1005" s="517"/>
      <c r="C1005" s="318"/>
      <c r="D1005" s="318"/>
      <c r="E1005" s="318"/>
      <c r="F1005" s="318"/>
      <c r="G1005" s="318"/>
      <c r="H1005" s="318"/>
      <c r="I1005" s="318"/>
      <c r="J1005" s="318"/>
      <c r="K1005" s="318"/>
      <c r="L1005" s="318"/>
      <c r="M1005" s="318"/>
    </row>
    <row r="1006" spans="2:13" ht="15">
      <c r="B1006" s="517"/>
      <c r="C1006" s="318"/>
      <c r="D1006" s="318"/>
      <c r="E1006" s="318"/>
      <c r="F1006" s="318"/>
      <c r="G1006" s="318"/>
      <c r="H1006" s="318"/>
      <c r="I1006" s="318"/>
      <c r="J1006" s="318"/>
      <c r="K1006" s="318"/>
      <c r="L1006" s="318"/>
      <c r="M1006" s="318"/>
    </row>
    <row r="1007" spans="2:13" ht="15">
      <c r="B1007" s="517"/>
      <c r="C1007" s="318"/>
      <c r="D1007" s="318"/>
      <c r="E1007" s="318"/>
      <c r="F1007" s="318"/>
      <c r="G1007" s="318"/>
      <c r="H1007" s="318"/>
      <c r="I1007" s="318"/>
      <c r="J1007" s="318"/>
      <c r="K1007" s="318"/>
      <c r="L1007" s="318"/>
      <c r="M1007" s="318"/>
    </row>
    <row r="1008" spans="2:13" ht="15">
      <c r="B1008" s="517"/>
      <c r="C1008" s="318"/>
      <c r="D1008" s="318"/>
      <c r="E1008" s="318"/>
      <c r="F1008" s="318"/>
      <c r="G1008" s="318"/>
      <c r="H1008" s="318"/>
      <c r="I1008" s="318"/>
      <c r="J1008" s="318"/>
      <c r="K1008" s="318"/>
      <c r="L1008" s="318"/>
      <c r="M1008" s="318"/>
    </row>
    <row r="1009" spans="2:13" ht="15">
      <c r="B1009" s="517"/>
      <c r="C1009" s="318"/>
      <c r="D1009" s="318"/>
      <c r="E1009" s="318"/>
      <c r="F1009" s="318"/>
      <c r="G1009" s="318"/>
      <c r="H1009" s="318"/>
      <c r="I1009" s="318"/>
      <c r="J1009" s="318"/>
      <c r="K1009" s="318"/>
      <c r="L1009" s="318"/>
      <c r="M1009" s="318"/>
    </row>
    <row r="1010" spans="2:13" ht="15">
      <c r="B1010" s="517"/>
      <c r="C1010" s="318"/>
      <c r="D1010" s="318"/>
      <c r="E1010" s="318"/>
      <c r="F1010" s="318"/>
      <c r="G1010" s="318"/>
      <c r="H1010" s="318"/>
      <c r="I1010" s="318"/>
      <c r="J1010" s="318"/>
      <c r="K1010" s="318"/>
      <c r="L1010" s="318"/>
      <c r="M1010" s="318"/>
    </row>
    <row r="1011" spans="2:13" ht="15">
      <c r="B1011" s="517"/>
      <c r="C1011" s="318"/>
      <c r="D1011" s="318"/>
      <c r="E1011" s="318"/>
      <c r="F1011" s="318"/>
      <c r="G1011" s="318"/>
      <c r="H1011" s="318"/>
      <c r="I1011" s="318"/>
      <c r="J1011" s="318"/>
      <c r="K1011" s="318"/>
      <c r="L1011" s="318"/>
      <c r="M1011" s="318"/>
    </row>
    <row r="1012" spans="2:13" ht="15">
      <c r="B1012" s="517"/>
      <c r="C1012" s="318"/>
      <c r="D1012" s="318"/>
      <c r="E1012" s="318"/>
      <c r="F1012" s="318"/>
      <c r="G1012" s="318"/>
      <c r="H1012" s="318"/>
      <c r="I1012" s="318"/>
      <c r="J1012" s="318"/>
      <c r="K1012" s="318"/>
      <c r="L1012" s="318"/>
      <c r="M1012" s="318"/>
    </row>
    <row r="1013" spans="2:13" ht="15">
      <c r="B1013" s="517"/>
      <c r="C1013" s="318"/>
      <c r="D1013" s="318"/>
      <c r="E1013" s="318"/>
      <c r="F1013" s="318"/>
      <c r="G1013" s="318"/>
      <c r="H1013" s="318"/>
      <c r="I1013" s="318"/>
      <c r="J1013" s="318"/>
      <c r="K1013" s="318"/>
      <c r="L1013" s="318"/>
      <c r="M1013" s="318"/>
    </row>
    <row r="1014" spans="2:13" ht="15">
      <c r="B1014" s="517"/>
      <c r="C1014" s="318"/>
      <c r="D1014" s="318"/>
      <c r="E1014" s="318"/>
      <c r="F1014" s="318"/>
      <c r="G1014" s="318"/>
      <c r="H1014" s="318"/>
      <c r="I1014" s="318"/>
      <c r="J1014" s="318"/>
      <c r="K1014" s="318"/>
      <c r="L1014" s="318"/>
      <c r="M1014" s="318"/>
    </row>
    <row r="1015" spans="2:13" ht="15">
      <c r="B1015" s="517"/>
      <c r="C1015" s="318"/>
      <c r="D1015" s="318"/>
      <c r="E1015" s="318"/>
      <c r="F1015" s="318"/>
      <c r="G1015" s="318"/>
      <c r="H1015" s="318"/>
      <c r="I1015" s="318"/>
      <c r="J1015" s="318"/>
      <c r="K1015" s="318"/>
      <c r="L1015" s="318"/>
      <c r="M1015" s="318"/>
    </row>
    <row r="1016" spans="2:13" ht="15">
      <c r="B1016" s="517"/>
      <c r="C1016" s="318"/>
      <c r="D1016" s="318"/>
      <c r="E1016" s="318"/>
      <c r="F1016" s="318"/>
      <c r="G1016" s="318"/>
      <c r="H1016" s="318"/>
      <c r="I1016" s="318"/>
      <c r="J1016" s="318"/>
      <c r="K1016" s="318"/>
      <c r="L1016" s="318"/>
      <c r="M1016" s="318"/>
    </row>
    <row r="1017" spans="2:13" ht="15">
      <c r="B1017" s="517"/>
      <c r="C1017" s="318"/>
      <c r="D1017" s="318"/>
      <c r="E1017" s="318"/>
      <c r="F1017" s="318"/>
      <c r="G1017" s="318"/>
      <c r="H1017" s="318"/>
      <c r="I1017" s="318"/>
      <c r="J1017" s="318"/>
      <c r="K1017" s="318"/>
      <c r="L1017" s="318"/>
      <c r="M1017" s="318"/>
    </row>
    <row r="1018" spans="2:13" ht="15">
      <c r="B1018" s="517"/>
      <c r="C1018" s="318"/>
      <c r="D1018" s="318"/>
      <c r="E1018" s="318"/>
      <c r="F1018" s="318"/>
      <c r="G1018" s="318"/>
      <c r="H1018" s="318"/>
      <c r="I1018" s="318"/>
      <c r="J1018" s="318"/>
      <c r="K1018" s="318"/>
      <c r="L1018" s="318"/>
      <c r="M1018" s="318"/>
    </row>
    <row r="1019" spans="2:13" ht="15">
      <c r="B1019" s="517"/>
      <c r="C1019" s="318"/>
      <c r="D1019" s="318"/>
      <c r="E1019" s="318"/>
      <c r="F1019" s="318"/>
      <c r="G1019" s="318"/>
      <c r="H1019" s="318"/>
      <c r="I1019" s="318"/>
      <c r="J1019" s="318"/>
      <c r="K1019" s="318"/>
      <c r="L1019" s="318"/>
      <c r="M1019" s="318"/>
    </row>
    <row r="1020" spans="2:13" ht="15">
      <c r="B1020" s="517"/>
      <c r="C1020" s="318"/>
      <c r="D1020" s="318"/>
      <c r="E1020" s="318"/>
      <c r="F1020" s="318"/>
      <c r="G1020" s="318"/>
      <c r="H1020" s="318"/>
      <c r="I1020" s="318"/>
      <c r="J1020" s="318"/>
      <c r="K1020" s="318"/>
      <c r="L1020" s="318"/>
      <c r="M1020" s="318"/>
    </row>
    <row r="1021" spans="2:13" ht="15">
      <c r="B1021" s="517"/>
      <c r="C1021" s="318"/>
      <c r="D1021" s="318"/>
      <c r="E1021" s="318"/>
      <c r="F1021" s="318"/>
      <c r="G1021" s="318"/>
      <c r="H1021" s="318"/>
      <c r="I1021" s="318"/>
      <c r="J1021" s="318"/>
      <c r="K1021" s="318"/>
      <c r="L1021" s="318"/>
      <c r="M1021" s="318"/>
    </row>
    <row r="1022" spans="2:13" ht="15">
      <c r="B1022" s="517"/>
      <c r="C1022" s="318"/>
      <c r="D1022" s="318"/>
      <c r="E1022" s="318"/>
      <c r="F1022" s="318"/>
      <c r="G1022" s="318"/>
      <c r="H1022" s="318"/>
      <c r="I1022" s="318"/>
      <c r="J1022" s="318"/>
      <c r="K1022" s="318"/>
      <c r="L1022" s="318"/>
      <c r="M1022" s="318"/>
    </row>
    <row r="1023" spans="2:13" ht="15">
      <c r="B1023" s="517"/>
      <c r="C1023" s="318"/>
      <c r="D1023" s="318"/>
      <c r="E1023" s="318"/>
      <c r="F1023" s="318"/>
      <c r="G1023" s="318"/>
      <c r="H1023" s="318"/>
      <c r="I1023" s="318"/>
      <c r="J1023" s="318"/>
      <c r="K1023" s="318"/>
      <c r="L1023" s="318"/>
      <c r="M1023" s="318"/>
    </row>
    <row r="1024" spans="2:13" ht="15">
      <c r="B1024" s="517"/>
      <c r="C1024" s="318"/>
      <c r="D1024" s="318"/>
      <c r="E1024" s="318"/>
      <c r="F1024" s="318"/>
      <c r="G1024" s="318"/>
      <c r="H1024" s="318"/>
      <c r="I1024" s="318"/>
      <c r="J1024" s="318"/>
      <c r="K1024" s="318"/>
      <c r="L1024" s="318"/>
      <c r="M1024" s="318"/>
    </row>
    <row r="1025" spans="2:13" ht="15">
      <c r="B1025" s="517"/>
      <c r="C1025" s="318"/>
      <c r="D1025" s="318"/>
      <c r="E1025" s="318"/>
      <c r="F1025" s="318"/>
      <c r="G1025" s="318"/>
      <c r="H1025" s="318"/>
      <c r="I1025" s="318"/>
      <c r="J1025" s="318"/>
      <c r="K1025" s="318"/>
      <c r="L1025" s="318"/>
      <c r="M1025" s="318"/>
    </row>
    <row r="1026" spans="2:13" ht="15">
      <c r="B1026" s="517"/>
      <c r="C1026" s="318"/>
      <c r="D1026" s="318"/>
      <c r="E1026" s="318"/>
      <c r="F1026" s="318"/>
      <c r="G1026" s="318"/>
      <c r="H1026" s="318"/>
      <c r="I1026" s="318"/>
      <c r="J1026" s="318"/>
      <c r="K1026" s="318"/>
      <c r="L1026" s="318"/>
      <c r="M1026" s="318"/>
    </row>
    <row r="1027" spans="2:13" ht="15">
      <c r="B1027" s="517"/>
      <c r="C1027" s="318"/>
      <c r="D1027" s="318"/>
      <c r="E1027" s="318"/>
      <c r="F1027" s="318"/>
      <c r="G1027" s="318"/>
      <c r="H1027" s="318"/>
      <c r="I1027" s="318"/>
      <c r="J1027" s="318"/>
      <c r="K1027" s="318"/>
      <c r="L1027" s="318"/>
      <c r="M1027" s="318"/>
    </row>
    <row r="1028" spans="2:13" ht="15">
      <c r="B1028" s="517"/>
      <c r="C1028" s="318"/>
      <c r="D1028" s="318"/>
      <c r="E1028" s="318"/>
      <c r="F1028" s="318"/>
      <c r="G1028" s="318"/>
      <c r="H1028" s="318"/>
      <c r="I1028" s="318"/>
      <c r="J1028" s="318"/>
      <c r="K1028" s="318"/>
      <c r="L1028" s="318"/>
      <c r="M1028" s="318"/>
    </row>
    <row r="1029" spans="2:13" ht="15">
      <c r="B1029" s="517"/>
      <c r="C1029" s="318"/>
      <c r="D1029" s="318"/>
      <c r="E1029" s="318"/>
      <c r="F1029" s="318"/>
      <c r="G1029" s="318"/>
      <c r="H1029" s="318"/>
      <c r="I1029" s="318"/>
      <c r="J1029" s="318"/>
      <c r="K1029" s="318"/>
      <c r="L1029" s="318"/>
      <c r="M1029" s="318"/>
    </row>
    <row r="1030" spans="2:13" ht="15">
      <c r="B1030" s="517"/>
      <c r="C1030" s="318"/>
      <c r="D1030" s="318"/>
      <c r="E1030" s="318"/>
      <c r="F1030" s="318"/>
      <c r="G1030" s="318"/>
      <c r="H1030" s="318"/>
      <c r="I1030" s="318"/>
      <c r="J1030" s="318"/>
      <c r="K1030" s="318"/>
      <c r="L1030" s="318"/>
      <c r="M1030" s="318"/>
    </row>
    <row r="1031" spans="2:13" ht="15">
      <c r="B1031" s="517"/>
      <c r="C1031" s="318"/>
      <c r="D1031" s="318"/>
      <c r="E1031" s="318"/>
      <c r="F1031" s="318"/>
      <c r="G1031" s="318"/>
      <c r="H1031" s="318"/>
      <c r="I1031" s="318"/>
      <c r="J1031" s="318"/>
      <c r="K1031" s="318"/>
      <c r="L1031" s="318"/>
      <c r="M1031" s="318"/>
    </row>
    <row r="1032" spans="2:13" ht="15">
      <c r="B1032" s="517"/>
      <c r="C1032" s="318"/>
      <c r="D1032" s="318"/>
      <c r="E1032" s="318"/>
      <c r="F1032" s="318"/>
      <c r="G1032" s="318"/>
      <c r="H1032" s="318"/>
      <c r="I1032" s="318"/>
      <c r="J1032" s="318"/>
      <c r="K1032" s="318"/>
      <c r="L1032" s="318"/>
      <c r="M1032" s="318"/>
    </row>
    <row r="1033" spans="2:13" ht="15">
      <c r="B1033" s="517"/>
      <c r="C1033" s="318"/>
      <c r="D1033" s="318"/>
      <c r="E1033" s="318"/>
      <c r="F1033" s="318"/>
      <c r="G1033" s="318"/>
      <c r="H1033" s="318"/>
      <c r="I1033" s="318"/>
      <c r="J1033" s="318"/>
      <c r="K1033" s="318"/>
      <c r="L1033" s="318"/>
      <c r="M1033" s="318"/>
    </row>
    <row r="1034" spans="2:13" ht="15">
      <c r="B1034" s="517"/>
      <c r="C1034" s="318"/>
      <c r="D1034" s="318"/>
      <c r="E1034" s="318"/>
      <c r="F1034" s="318"/>
      <c r="G1034" s="318"/>
      <c r="H1034" s="318"/>
      <c r="I1034" s="318"/>
      <c r="J1034" s="318"/>
      <c r="K1034" s="318"/>
      <c r="L1034" s="318"/>
      <c r="M1034" s="318"/>
    </row>
    <row r="1035" spans="2:13" ht="15">
      <c r="B1035" s="517"/>
      <c r="C1035" s="318"/>
      <c r="D1035" s="318"/>
      <c r="E1035" s="318"/>
      <c r="F1035" s="318"/>
      <c r="G1035" s="318"/>
      <c r="H1035" s="318"/>
      <c r="I1035" s="318"/>
      <c r="J1035" s="318"/>
      <c r="K1035" s="318"/>
      <c r="L1035" s="318"/>
      <c r="M1035" s="318"/>
    </row>
    <row r="1036" spans="2:13" ht="15">
      <c r="B1036" s="517"/>
      <c r="C1036" s="318"/>
      <c r="D1036" s="318"/>
      <c r="E1036" s="318"/>
      <c r="F1036" s="318"/>
      <c r="G1036" s="318"/>
      <c r="H1036" s="318"/>
      <c r="I1036" s="318"/>
      <c r="J1036" s="318"/>
      <c r="K1036" s="318"/>
      <c r="L1036" s="318"/>
      <c r="M1036" s="318"/>
    </row>
    <row r="1037" spans="2:13" ht="15">
      <c r="B1037" s="517"/>
      <c r="C1037" s="318"/>
      <c r="D1037" s="318"/>
      <c r="E1037" s="318"/>
      <c r="F1037" s="318"/>
      <c r="G1037" s="318"/>
      <c r="H1037" s="318"/>
      <c r="I1037" s="318"/>
      <c r="J1037" s="318"/>
      <c r="K1037" s="318"/>
      <c r="L1037" s="318"/>
      <c r="M1037" s="318"/>
    </row>
    <row r="1038" spans="2:13" ht="15">
      <c r="B1038" s="517"/>
      <c r="C1038" s="318"/>
      <c r="D1038" s="318"/>
      <c r="E1038" s="318"/>
      <c r="F1038" s="318"/>
      <c r="G1038" s="318"/>
      <c r="H1038" s="318"/>
      <c r="I1038" s="318"/>
      <c r="J1038" s="318"/>
      <c r="K1038" s="318"/>
      <c r="L1038" s="318"/>
      <c r="M1038" s="318"/>
    </row>
    <row r="1039" spans="2:13" ht="15">
      <c r="B1039" s="517"/>
      <c r="C1039" s="318"/>
      <c r="D1039" s="318"/>
      <c r="E1039" s="318"/>
      <c r="F1039" s="318"/>
      <c r="G1039" s="318"/>
      <c r="H1039" s="318"/>
      <c r="I1039" s="318"/>
      <c r="J1039" s="318"/>
      <c r="K1039" s="318"/>
      <c r="L1039" s="318"/>
      <c r="M1039" s="318"/>
    </row>
    <row r="1040" spans="2:13" ht="15">
      <c r="B1040" s="517"/>
      <c r="C1040" s="318"/>
      <c r="D1040" s="318"/>
      <c r="E1040" s="318"/>
      <c r="F1040" s="318"/>
      <c r="G1040" s="318"/>
      <c r="H1040" s="318"/>
      <c r="I1040" s="318"/>
      <c r="J1040" s="318"/>
      <c r="K1040" s="318"/>
      <c r="L1040" s="318"/>
      <c r="M1040" s="318"/>
    </row>
    <row r="1041" spans="2:13" ht="15">
      <c r="B1041" s="517"/>
      <c r="C1041" s="318"/>
      <c r="D1041" s="318"/>
      <c r="E1041" s="318"/>
      <c r="F1041" s="318"/>
      <c r="G1041" s="318"/>
      <c r="H1041" s="318"/>
      <c r="I1041" s="318"/>
      <c r="J1041" s="318"/>
      <c r="K1041" s="318"/>
      <c r="L1041" s="318"/>
      <c r="M1041" s="318"/>
    </row>
    <row r="1042" spans="2:13" ht="15">
      <c r="B1042" s="517"/>
      <c r="C1042" s="318"/>
      <c r="D1042" s="318"/>
      <c r="E1042" s="318"/>
      <c r="F1042" s="318"/>
      <c r="G1042" s="318"/>
      <c r="H1042" s="318"/>
      <c r="I1042" s="318"/>
      <c r="J1042" s="318"/>
      <c r="K1042" s="318"/>
      <c r="L1042" s="318"/>
      <c r="M1042" s="318"/>
    </row>
    <row r="1043" spans="2:13" ht="15">
      <c r="B1043" s="517"/>
      <c r="C1043" s="318"/>
      <c r="D1043" s="318"/>
      <c r="E1043" s="318"/>
      <c r="F1043" s="318"/>
      <c r="G1043" s="318"/>
      <c r="H1043" s="318"/>
      <c r="I1043" s="318"/>
      <c r="J1043" s="318"/>
      <c r="K1043" s="318"/>
      <c r="L1043" s="318"/>
      <c r="M1043" s="318"/>
    </row>
    <row r="1044" spans="2:13" ht="15">
      <c r="B1044" s="517"/>
      <c r="C1044" s="318"/>
      <c r="D1044" s="318"/>
      <c r="E1044" s="318"/>
      <c r="F1044" s="318"/>
      <c r="G1044" s="318"/>
      <c r="H1044" s="318"/>
      <c r="I1044" s="318"/>
      <c r="J1044" s="318"/>
      <c r="K1044" s="318"/>
      <c r="L1044" s="318"/>
      <c r="M1044" s="318"/>
    </row>
    <row r="1045" spans="2:13" ht="15">
      <c r="B1045" s="517"/>
      <c r="C1045" s="318"/>
      <c r="D1045" s="318"/>
      <c r="E1045" s="318"/>
      <c r="F1045" s="318"/>
      <c r="G1045" s="318"/>
      <c r="H1045" s="318"/>
      <c r="I1045" s="318"/>
      <c r="J1045" s="318"/>
      <c r="K1045" s="318"/>
      <c r="L1045" s="318"/>
      <c r="M1045" s="318"/>
    </row>
    <row r="1046" spans="2:13" ht="15">
      <c r="B1046" s="517"/>
      <c r="C1046" s="318"/>
      <c r="D1046" s="318"/>
      <c r="E1046" s="318"/>
      <c r="F1046" s="318"/>
      <c r="G1046" s="318"/>
      <c r="H1046" s="318"/>
      <c r="I1046" s="318"/>
      <c r="J1046" s="318"/>
      <c r="K1046" s="318"/>
      <c r="L1046" s="318"/>
      <c r="M1046" s="318"/>
    </row>
    <row r="1047" spans="2:13" ht="15">
      <c r="B1047" s="517"/>
      <c r="C1047" s="318"/>
      <c r="D1047" s="318"/>
      <c r="E1047" s="318"/>
      <c r="F1047" s="318"/>
      <c r="G1047" s="318"/>
      <c r="H1047" s="318"/>
      <c r="I1047" s="318"/>
      <c r="J1047" s="318"/>
      <c r="K1047" s="318"/>
      <c r="L1047" s="318"/>
      <c r="M1047" s="318"/>
    </row>
    <row r="1048" spans="2:13" ht="15">
      <c r="B1048" s="517"/>
      <c r="C1048" s="318"/>
      <c r="D1048" s="318"/>
      <c r="E1048" s="318"/>
      <c r="F1048" s="318"/>
      <c r="G1048" s="318"/>
      <c r="H1048" s="318"/>
      <c r="I1048" s="318"/>
      <c r="J1048" s="318"/>
      <c r="K1048" s="318"/>
      <c r="L1048" s="318"/>
      <c r="M1048" s="318"/>
    </row>
    <row r="1049" spans="2:13" ht="15">
      <c r="B1049" s="517"/>
      <c r="C1049" s="318"/>
      <c r="D1049" s="318"/>
      <c r="E1049" s="318"/>
      <c r="F1049" s="318"/>
      <c r="G1049" s="318"/>
      <c r="H1049" s="318"/>
      <c r="I1049" s="318"/>
      <c r="J1049" s="318"/>
      <c r="K1049" s="318"/>
      <c r="L1049" s="318"/>
      <c r="M1049" s="318"/>
    </row>
    <row r="1050" spans="2:13" ht="15">
      <c r="B1050" s="517"/>
      <c r="C1050" s="318"/>
      <c r="D1050" s="318"/>
      <c r="E1050" s="318"/>
      <c r="F1050" s="318"/>
      <c r="G1050" s="318"/>
      <c r="H1050" s="318"/>
      <c r="I1050" s="318"/>
      <c r="J1050" s="318"/>
      <c r="K1050" s="318"/>
      <c r="L1050" s="318"/>
      <c r="M1050" s="318"/>
    </row>
    <row r="1051" spans="2:13" ht="15">
      <c r="B1051" s="517"/>
      <c r="C1051" s="318"/>
      <c r="D1051" s="318"/>
      <c r="E1051" s="318"/>
      <c r="F1051" s="318"/>
      <c r="G1051" s="318"/>
      <c r="H1051" s="318"/>
      <c r="I1051" s="318"/>
      <c r="J1051" s="318"/>
      <c r="K1051" s="318"/>
      <c r="L1051" s="318"/>
      <c r="M1051" s="318"/>
    </row>
    <row r="1052" spans="2:13" ht="15">
      <c r="B1052" s="517"/>
      <c r="C1052" s="318"/>
      <c r="D1052" s="318"/>
      <c r="E1052" s="318"/>
      <c r="F1052" s="318"/>
      <c r="G1052" s="318"/>
      <c r="H1052" s="318"/>
      <c r="I1052" s="318"/>
      <c r="J1052" s="318"/>
      <c r="K1052" s="318"/>
      <c r="L1052" s="318"/>
      <c r="M1052" s="318"/>
    </row>
    <row r="1053" spans="2:13" ht="15">
      <c r="B1053" s="517"/>
      <c r="C1053" s="318"/>
      <c r="D1053" s="318"/>
      <c r="E1053" s="318"/>
      <c r="F1053" s="318"/>
      <c r="G1053" s="318"/>
      <c r="H1053" s="318"/>
      <c r="I1053" s="318"/>
      <c r="J1053" s="318"/>
      <c r="K1053" s="318"/>
      <c r="L1053" s="318"/>
      <c r="M1053" s="318"/>
    </row>
    <row r="1054" spans="2:13" ht="15">
      <c r="B1054" s="517"/>
      <c r="C1054" s="318"/>
      <c r="D1054" s="318"/>
      <c r="E1054" s="318"/>
      <c r="F1054" s="318"/>
      <c r="G1054" s="318"/>
      <c r="H1054" s="318"/>
      <c r="I1054" s="318"/>
      <c r="J1054" s="318"/>
      <c r="K1054" s="318"/>
      <c r="L1054" s="318"/>
      <c r="M1054" s="318"/>
    </row>
    <row r="1055" spans="2:13" ht="15">
      <c r="B1055" s="517"/>
      <c r="C1055" s="318"/>
      <c r="D1055" s="318"/>
      <c r="E1055" s="318"/>
      <c r="F1055" s="318"/>
      <c r="G1055" s="318"/>
      <c r="H1055" s="318"/>
      <c r="I1055" s="318"/>
      <c r="J1055" s="318"/>
      <c r="K1055" s="318"/>
      <c r="L1055" s="318"/>
      <c r="M1055" s="318"/>
    </row>
    <row r="1056" spans="2:13" ht="15">
      <c r="B1056" s="517"/>
      <c r="C1056" s="318"/>
      <c r="D1056" s="318"/>
      <c r="E1056" s="318"/>
      <c r="F1056" s="318"/>
      <c r="G1056" s="318"/>
      <c r="H1056" s="318"/>
      <c r="I1056" s="318"/>
      <c r="J1056" s="318"/>
      <c r="K1056" s="318"/>
      <c r="L1056" s="318"/>
      <c r="M1056" s="318"/>
    </row>
    <row r="1057" spans="2:13" ht="15">
      <c r="B1057" s="517"/>
      <c r="C1057" s="318"/>
      <c r="D1057" s="318"/>
      <c r="E1057" s="318"/>
      <c r="F1057" s="318"/>
      <c r="G1057" s="318"/>
      <c r="H1057" s="318"/>
      <c r="I1057" s="318"/>
      <c r="J1057" s="318"/>
      <c r="K1057" s="318"/>
      <c r="L1057" s="318"/>
      <c r="M1057" s="318"/>
    </row>
    <row r="1058" spans="2:13" ht="15">
      <c r="B1058" s="517"/>
      <c r="C1058" s="318"/>
      <c r="D1058" s="318"/>
      <c r="E1058" s="318"/>
      <c r="F1058" s="318"/>
      <c r="G1058" s="318"/>
      <c r="H1058" s="318"/>
      <c r="I1058" s="318"/>
      <c r="J1058" s="318"/>
      <c r="K1058" s="318"/>
      <c r="L1058" s="318"/>
      <c r="M1058" s="318"/>
    </row>
    <row r="1059" spans="2:13" ht="15">
      <c r="B1059" s="517"/>
      <c r="C1059" s="318"/>
      <c r="D1059" s="318"/>
      <c r="E1059" s="318"/>
      <c r="F1059" s="318"/>
      <c r="G1059" s="318"/>
      <c r="H1059" s="318"/>
      <c r="I1059" s="318"/>
      <c r="J1059" s="318"/>
      <c r="K1059" s="318"/>
      <c r="L1059" s="318"/>
      <c r="M1059" s="318"/>
    </row>
    <row r="1060" spans="2:13" ht="15">
      <c r="B1060" s="517"/>
      <c r="C1060" s="318"/>
      <c r="D1060" s="318"/>
      <c r="E1060" s="318"/>
      <c r="F1060" s="318"/>
      <c r="G1060" s="318"/>
      <c r="H1060" s="318"/>
      <c r="I1060" s="318"/>
      <c r="J1060" s="318"/>
      <c r="K1060" s="318"/>
      <c r="L1060" s="318"/>
      <c r="M1060" s="318"/>
    </row>
    <row r="1061" spans="2:13" ht="15">
      <c r="B1061" s="517"/>
      <c r="C1061" s="318"/>
      <c r="D1061" s="318"/>
      <c r="E1061" s="318"/>
      <c r="F1061" s="318"/>
      <c r="G1061" s="318"/>
      <c r="H1061" s="318"/>
      <c r="I1061" s="318"/>
      <c r="J1061" s="318"/>
      <c r="K1061" s="318"/>
      <c r="L1061" s="318"/>
      <c r="M1061" s="318"/>
    </row>
    <row r="1062" spans="2:13" ht="15">
      <c r="B1062" s="517"/>
      <c r="C1062" s="318"/>
      <c r="D1062" s="318"/>
      <c r="E1062" s="318"/>
      <c r="F1062" s="318"/>
      <c r="G1062" s="318"/>
      <c r="H1062" s="318"/>
      <c r="I1062" s="318"/>
      <c r="J1062" s="318"/>
      <c r="K1062" s="318"/>
      <c r="L1062" s="318"/>
      <c r="M1062" s="318"/>
    </row>
    <row r="1063" spans="2:13" ht="15">
      <c r="B1063" s="517"/>
      <c r="C1063" s="318"/>
      <c r="D1063" s="318"/>
      <c r="E1063" s="318"/>
      <c r="F1063" s="318"/>
      <c r="G1063" s="318"/>
      <c r="H1063" s="318"/>
      <c r="I1063" s="318"/>
      <c r="J1063" s="318"/>
      <c r="K1063" s="318"/>
      <c r="L1063" s="318"/>
      <c r="M1063" s="318"/>
    </row>
    <row r="1064" spans="2:13" ht="15">
      <c r="B1064" s="517"/>
      <c r="C1064" s="318"/>
      <c r="D1064" s="318"/>
      <c r="E1064" s="318"/>
      <c r="F1064" s="318"/>
      <c r="G1064" s="318"/>
      <c r="H1064" s="318"/>
      <c r="I1064" s="318"/>
      <c r="J1064" s="318"/>
      <c r="K1064" s="318"/>
      <c r="L1064" s="318"/>
      <c r="M1064" s="318"/>
    </row>
    <row r="1065" spans="2:13" ht="15">
      <c r="B1065" s="517"/>
      <c r="C1065" s="318"/>
      <c r="D1065" s="318"/>
      <c r="E1065" s="318"/>
      <c r="F1065" s="318"/>
      <c r="G1065" s="318"/>
      <c r="H1065" s="318"/>
      <c r="I1065" s="318"/>
      <c r="J1065" s="318"/>
      <c r="K1065" s="318"/>
      <c r="L1065" s="318"/>
      <c r="M1065" s="318"/>
    </row>
    <row r="1066" spans="2:13" ht="15">
      <c r="B1066" s="517"/>
      <c r="C1066" s="318"/>
      <c r="D1066" s="318"/>
      <c r="E1066" s="318"/>
      <c r="F1066" s="318"/>
      <c r="G1066" s="318"/>
      <c r="H1066" s="318"/>
      <c r="I1066" s="318"/>
      <c r="J1066" s="318"/>
      <c r="K1066" s="318"/>
      <c r="L1066" s="318"/>
      <c r="M1066" s="318"/>
    </row>
    <row r="1067" spans="2:13" ht="15">
      <c r="B1067" s="517"/>
      <c r="C1067" s="318"/>
      <c r="D1067" s="318"/>
      <c r="E1067" s="318"/>
      <c r="F1067" s="318"/>
      <c r="G1067" s="318"/>
      <c r="H1067" s="318"/>
      <c r="I1067" s="318"/>
      <c r="J1067" s="318"/>
      <c r="K1067" s="318"/>
      <c r="L1067" s="318"/>
      <c r="M1067" s="318"/>
    </row>
    <row r="1068" spans="2:13" ht="15">
      <c r="B1068" s="517"/>
      <c r="C1068" s="318"/>
      <c r="D1068" s="318"/>
      <c r="E1068" s="318"/>
      <c r="F1068" s="318"/>
      <c r="G1068" s="318"/>
      <c r="H1068" s="318"/>
      <c r="I1068" s="318"/>
      <c r="J1068" s="318"/>
      <c r="K1068" s="318"/>
      <c r="L1068" s="318"/>
      <c r="M1068" s="318"/>
    </row>
    <row r="1069" spans="2:13" ht="15">
      <c r="B1069" s="517"/>
      <c r="C1069" s="318"/>
      <c r="D1069" s="318"/>
      <c r="E1069" s="318"/>
      <c r="F1069" s="318"/>
      <c r="G1069" s="318"/>
      <c r="H1069" s="318"/>
      <c r="I1069" s="318"/>
      <c r="J1069" s="318"/>
      <c r="K1069" s="318"/>
      <c r="L1069" s="318"/>
      <c r="M1069" s="318"/>
    </row>
    <row r="1070" spans="2:13" ht="15">
      <c r="B1070" s="517"/>
      <c r="C1070" s="318"/>
      <c r="D1070" s="318"/>
      <c r="E1070" s="318"/>
      <c r="F1070" s="318"/>
      <c r="G1070" s="318"/>
      <c r="H1070" s="318"/>
      <c r="I1070" s="318"/>
      <c r="J1070" s="318"/>
      <c r="K1070" s="318"/>
      <c r="L1070" s="318"/>
      <c r="M1070" s="318"/>
    </row>
    <row r="1071" spans="2:13" ht="15">
      <c r="B1071" s="517"/>
      <c r="C1071" s="318"/>
      <c r="D1071" s="318"/>
      <c r="E1071" s="318"/>
      <c r="F1071" s="318"/>
      <c r="G1071" s="318"/>
      <c r="H1071" s="318"/>
      <c r="I1071" s="318"/>
      <c r="J1071" s="318"/>
      <c r="K1071" s="318"/>
      <c r="L1071" s="318"/>
      <c r="M1071" s="318"/>
    </row>
    <row r="1072" spans="2:13" ht="15">
      <c r="B1072" s="517"/>
      <c r="C1072" s="318"/>
      <c r="D1072" s="318"/>
      <c r="E1072" s="318"/>
      <c r="F1072" s="318"/>
      <c r="G1072" s="318"/>
      <c r="H1072" s="318"/>
      <c r="I1072" s="318"/>
      <c r="J1072" s="318"/>
      <c r="K1072" s="318"/>
      <c r="L1072" s="318"/>
      <c r="M1072" s="318"/>
    </row>
    <row r="1073" spans="2:13" ht="15">
      <c r="B1073" s="517"/>
      <c r="C1073" s="318"/>
      <c r="D1073" s="318"/>
      <c r="E1073" s="318"/>
      <c r="F1073" s="318"/>
      <c r="G1073" s="318"/>
      <c r="H1073" s="318"/>
      <c r="I1073" s="318"/>
      <c r="J1073" s="318"/>
      <c r="K1073" s="318"/>
      <c r="L1073" s="318"/>
      <c r="M1073" s="318"/>
    </row>
    <row r="1074" spans="2:13" ht="15">
      <c r="B1074" s="517"/>
      <c r="C1074" s="318"/>
      <c r="D1074" s="318"/>
      <c r="E1074" s="318"/>
      <c r="F1074" s="318"/>
      <c r="G1074" s="318"/>
      <c r="H1074" s="318"/>
      <c r="I1074" s="318"/>
      <c r="J1074" s="318"/>
      <c r="K1074" s="318"/>
      <c r="L1074" s="318"/>
      <c r="M1074" s="318"/>
    </row>
    <row r="1075" spans="2:13" ht="15">
      <c r="B1075" s="517"/>
      <c r="C1075" s="318"/>
      <c r="D1075" s="318"/>
      <c r="E1075" s="318"/>
      <c r="F1075" s="318"/>
      <c r="G1075" s="318"/>
      <c r="H1075" s="318"/>
      <c r="I1075" s="318"/>
      <c r="J1075" s="318"/>
      <c r="K1075" s="318"/>
      <c r="L1075" s="318"/>
      <c r="M1075" s="318"/>
    </row>
    <row r="1076" spans="2:13" ht="15">
      <c r="B1076" s="517"/>
      <c r="C1076" s="318"/>
      <c r="D1076" s="318"/>
      <c r="E1076" s="318"/>
      <c r="F1076" s="318"/>
      <c r="G1076" s="318"/>
      <c r="H1076" s="318"/>
      <c r="I1076" s="318"/>
      <c r="J1076" s="318"/>
      <c r="K1076" s="318"/>
      <c r="L1076" s="318"/>
      <c r="M1076" s="318"/>
    </row>
    <row r="1077" spans="2:13" ht="15">
      <c r="B1077" s="517"/>
      <c r="C1077" s="318"/>
      <c r="D1077" s="318"/>
      <c r="E1077" s="318"/>
      <c r="F1077" s="318"/>
      <c r="G1077" s="318"/>
      <c r="H1077" s="318"/>
      <c r="I1077" s="318"/>
      <c r="J1077" s="318"/>
      <c r="K1077" s="318"/>
      <c r="L1077" s="318"/>
      <c r="M1077" s="318"/>
    </row>
    <row r="1078" spans="2:13" ht="15">
      <c r="B1078" s="517"/>
      <c r="C1078" s="318"/>
      <c r="D1078" s="318"/>
      <c r="E1078" s="318"/>
      <c r="F1078" s="318"/>
      <c r="G1078" s="318"/>
      <c r="H1078" s="318"/>
      <c r="I1078" s="318"/>
      <c r="J1078" s="318"/>
      <c r="K1078" s="318"/>
      <c r="L1078" s="318"/>
      <c r="M1078" s="318"/>
    </row>
    <row r="1079" spans="2:13" ht="15">
      <c r="B1079" s="517"/>
      <c r="C1079" s="318"/>
      <c r="D1079" s="318"/>
      <c r="E1079" s="318"/>
      <c r="F1079" s="318"/>
      <c r="G1079" s="318"/>
      <c r="H1079" s="318"/>
      <c r="I1079" s="318"/>
      <c r="J1079" s="318"/>
      <c r="K1079" s="318"/>
      <c r="L1079" s="318"/>
      <c r="M1079" s="318"/>
    </row>
    <row r="1080" spans="2:13" ht="15">
      <c r="B1080" s="517"/>
      <c r="C1080" s="318"/>
      <c r="D1080" s="318"/>
      <c r="E1080" s="318"/>
      <c r="F1080" s="318"/>
      <c r="G1080" s="318"/>
      <c r="H1080" s="318"/>
      <c r="I1080" s="318"/>
      <c r="J1080" s="318"/>
      <c r="K1080" s="318"/>
      <c r="L1080" s="318"/>
      <c r="M1080" s="318"/>
    </row>
    <row r="1081" spans="2:13" ht="15">
      <c r="B1081" s="517"/>
      <c r="C1081" s="318"/>
      <c r="D1081" s="318"/>
      <c r="E1081" s="318"/>
      <c r="F1081" s="318"/>
      <c r="G1081" s="318"/>
      <c r="H1081" s="318"/>
      <c r="I1081" s="318"/>
      <c r="J1081" s="318"/>
      <c r="K1081" s="318"/>
      <c r="L1081" s="318"/>
      <c r="M1081" s="318"/>
    </row>
    <row r="1082" spans="2:13" ht="15">
      <c r="B1082" s="517"/>
      <c r="C1082" s="318"/>
      <c r="D1082" s="318"/>
      <c r="E1082" s="318"/>
      <c r="F1082" s="318"/>
      <c r="G1082" s="318"/>
      <c r="H1082" s="318"/>
      <c r="I1082" s="318"/>
      <c r="J1082" s="318"/>
      <c r="K1082" s="318"/>
      <c r="L1082" s="318"/>
      <c r="M1082" s="318"/>
    </row>
    <row r="1083" spans="2:13" ht="15">
      <c r="B1083" s="517"/>
      <c r="C1083" s="318"/>
      <c r="D1083" s="318"/>
      <c r="E1083" s="318"/>
      <c r="F1083" s="318"/>
      <c r="G1083" s="318"/>
      <c r="H1083" s="318"/>
      <c r="I1083" s="318"/>
      <c r="J1083" s="318"/>
      <c r="K1083" s="318"/>
      <c r="L1083" s="318"/>
      <c r="M1083" s="318"/>
    </row>
    <row r="1084" spans="2:13" ht="15">
      <c r="B1084" s="517"/>
      <c r="C1084" s="318"/>
      <c r="D1084" s="318"/>
      <c r="E1084" s="318"/>
      <c r="F1084" s="318"/>
      <c r="G1084" s="318"/>
      <c r="H1084" s="318"/>
      <c r="I1084" s="318"/>
      <c r="J1084" s="318"/>
      <c r="K1084" s="318"/>
      <c r="L1084" s="318"/>
      <c r="M1084" s="318"/>
    </row>
    <row r="1085" spans="2:13" ht="15">
      <c r="B1085" s="517"/>
      <c r="C1085" s="318"/>
      <c r="D1085" s="318"/>
      <c r="E1085" s="318"/>
      <c r="F1085" s="318"/>
      <c r="G1085" s="318"/>
      <c r="H1085" s="318"/>
      <c r="I1085" s="318"/>
      <c r="J1085" s="318"/>
      <c r="K1085" s="318"/>
      <c r="L1085" s="318"/>
      <c r="M1085" s="318"/>
    </row>
    <row r="1086" spans="2:13" ht="15">
      <c r="B1086" s="517"/>
      <c r="C1086" s="318"/>
      <c r="D1086" s="318"/>
      <c r="E1086" s="318"/>
      <c r="F1086" s="318"/>
      <c r="G1086" s="318"/>
      <c r="H1086" s="318"/>
      <c r="I1086" s="318"/>
      <c r="J1086" s="318"/>
      <c r="K1086" s="318"/>
      <c r="L1086" s="318"/>
      <c r="M1086" s="318"/>
    </row>
    <row r="1087" spans="2:13" ht="15">
      <c r="B1087" s="517"/>
      <c r="C1087" s="318"/>
      <c r="D1087" s="318"/>
      <c r="E1087" s="318"/>
      <c r="F1087" s="318"/>
      <c r="G1087" s="318"/>
      <c r="H1087" s="318"/>
      <c r="I1087" s="318"/>
      <c r="J1087" s="318"/>
      <c r="K1087" s="318"/>
      <c r="L1087" s="318"/>
      <c r="M1087" s="318"/>
    </row>
    <row r="1088" spans="2:13" ht="15">
      <c r="B1088" s="517"/>
      <c r="C1088" s="318"/>
      <c r="D1088" s="318"/>
      <c r="E1088" s="318"/>
      <c r="F1088" s="318"/>
      <c r="G1088" s="318"/>
      <c r="H1088" s="318"/>
      <c r="I1088" s="318"/>
      <c r="J1088" s="318"/>
      <c r="K1088" s="318"/>
      <c r="L1088" s="318"/>
      <c r="M1088" s="318"/>
    </row>
    <row r="1089" spans="2:13" ht="15">
      <c r="B1089" s="517"/>
      <c r="C1089" s="318"/>
      <c r="D1089" s="318"/>
      <c r="E1089" s="318"/>
      <c r="F1089" s="318"/>
      <c r="G1089" s="318"/>
      <c r="H1089" s="318"/>
      <c r="I1089" s="318"/>
      <c r="J1089" s="318"/>
      <c r="K1089" s="318"/>
      <c r="L1089" s="318"/>
      <c r="M1089" s="318"/>
    </row>
    <row r="1090" spans="2:13" ht="15">
      <c r="B1090" s="517"/>
      <c r="C1090" s="318"/>
      <c r="D1090" s="318"/>
      <c r="E1090" s="318"/>
      <c r="F1090" s="318"/>
      <c r="G1090" s="318"/>
      <c r="H1090" s="318"/>
      <c r="I1090" s="318"/>
      <c r="J1090" s="318"/>
      <c r="K1090" s="318"/>
      <c r="L1090" s="318"/>
      <c r="M1090" s="318"/>
    </row>
    <row r="1091" spans="2:13" ht="15">
      <c r="B1091" s="517"/>
      <c r="C1091" s="318"/>
      <c r="D1091" s="318"/>
      <c r="E1091" s="318"/>
      <c r="F1091" s="318"/>
      <c r="G1091" s="318"/>
      <c r="H1091" s="318"/>
      <c r="I1091" s="318"/>
      <c r="J1091" s="318"/>
      <c r="K1091" s="318"/>
      <c r="L1091" s="318"/>
      <c r="M1091" s="318"/>
    </row>
    <row r="1092" spans="2:13" ht="15">
      <c r="B1092" s="517"/>
      <c r="C1092" s="318"/>
      <c r="D1092" s="318"/>
      <c r="E1092" s="318"/>
      <c r="F1092" s="318"/>
      <c r="G1092" s="318"/>
      <c r="H1092" s="318"/>
      <c r="I1092" s="318"/>
      <c r="J1092" s="318"/>
      <c r="K1092" s="318"/>
      <c r="L1092" s="318"/>
      <c r="M1092" s="318"/>
    </row>
    <row r="1093" spans="2:13" ht="15">
      <c r="B1093" s="517"/>
      <c r="C1093" s="318"/>
      <c r="D1093" s="318"/>
      <c r="E1093" s="318"/>
      <c r="F1093" s="318"/>
      <c r="G1093" s="318"/>
      <c r="H1093" s="318"/>
      <c r="I1093" s="318"/>
      <c r="J1093" s="318"/>
      <c r="K1093" s="318"/>
      <c r="L1093" s="318"/>
      <c r="M1093" s="318"/>
    </row>
    <row r="1094" spans="2:13" ht="15">
      <c r="B1094" s="517"/>
      <c r="C1094" s="318"/>
      <c r="D1094" s="318"/>
      <c r="E1094" s="318"/>
      <c r="F1094" s="318"/>
      <c r="G1094" s="318"/>
      <c r="H1094" s="318"/>
      <c r="I1094" s="318"/>
      <c r="J1094" s="318"/>
      <c r="K1094" s="318"/>
      <c r="L1094" s="318"/>
      <c r="M1094" s="318"/>
    </row>
    <row r="1095" spans="2:13" ht="15">
      <c r="B1095" s="517"/>
      <c r="C1095" s="318"/>
      <c r="D1095" s="318"/>
      <c r="E1095" s="318"/>
      <c r="F1095" s="318"/>
      <c r="G1095" s="318"/>
      <c r="H1095" s="318"/>
      <c r="I1095" s="318"/>
      <c r="J1095" s="318"/>
      <c r="K1095" s="318"/>
      <c r="L1095" s="318"/>
      <c r="M1095" s="318"/>
    </row>
    <row r="1096" spans="2:13" ht="15">
      <c r="B1096" s="517"/>
      <c r="C1096" s="318"/>
      <c r="D1096" s="318"/>
      <c r="E1096" s="318"/>
      <c r="F1096" s="318"/>
      <c r="G1096" s="318"/>
      <c r="H1096" s="318"/>
      <c r="I1096" s="318"/>
      <c r="J1096" s="318"/>
      <c r="K1096" s="318"/>
      <c r="L1096" s="318"/>
      <c r="M1096" s="318"/>
    </row>
    <row r="1097" spans="2:13" ht="15">
      <c r="B1097" s="517"/>
      <c r="C1097" s="318"/>
      <c r="D1097" s="318"/>
      <c r="E1097" s="318"/>
      <c r="F1097" s="318"/>
      <c r="G1097" s="318"/>
      <c r="H1097" s="318"/>
      <c r="I1097" s="318"/>
      <c r="J1097" s="318"/>
      <c r="K1097" s="318"/>
      <c r="L1097" s="318"/>
      <c r="M1097" s="318"/>
    </row>
    <row r="1098" spans="2:13" ht="15">
      <c r="B1098" s="517"/>
      <c r="C1098" s="318"/>
      <c r="D1098" s="318"/>
      <c r="E1098" s="318"/>
      <c r="F1098" s="318"/>
      <c r="G1098" s="318"/>
      <c r="H1098" s="318"/>
      <c r="I1098" s="318"/>
      <c r="J1098" s="318"/>
      <c r="K1098" s="318"/>
      <c r="L1098" s="318"/>
      <c r="M1098" s="318"/>
    </row>
    <row r="1099" spans="2:13" ht="15">
      <c r="B1099" s="517"/>
      <c r="C1099" s="318"/>
      <c r="D1099" s="318"/>
      <c r="E1099" s="318"/>
      <c r="F1099" s="318"/>
      <c r="G1099" s="318"/>
      <c r="H1099" s="318"/>
      <c r="I1099" s="318"/>
      <c r="J1099" s="318"/>
      <c r="K1099" s="318"/>
      <c r="L1099" s="318"/>
      <c r="M1099" s="318"/>
    </row>
    <row r="1100" spans="2:13" ht="15">
      <c r="B1100" s="517"/>
      <c r="C1100" s="318"/>
      <c r="D1100" s="318"/>
      <c r="E1100" s="318"/>
      <c r="F1100" s="318"/>
      <c r="G1100" s="318"/>
      <c r="H1100" s="318"/>
      <c r="I1100" s="318"/>
      <c r="J1100" s="318"/>
      <c r="K1100" s="318"/>
      <c r="L1100" s="318"/>
      <c r="M1100" s="318"/>
    </row>
    <row r="1101" spans="2:13" ht="15">
      <c r="B1101" s="517"/>
      <c r="C1101" s="318"/>
      <c r="D1101" s="318"/>
      <c r="E1101" s="318"/>
      <c r="F1101" s="318"/>
      <c r="G1101" s="318"/>
      <c r="H1101" s="318"/>
      <c r="I1101" s="318"/>
      <c r="J1101" s="318"/>
      <c r="K1101" s="318"/>
      <c r="L1101" s="318"/>
      <c r="M1101" s="318"/>
    </row>
    <row r="1102" spans="2:13" ht="15">
      <c r="B1102" s="517"/>
      <c r="C1102" s="318"/>
      <c r="D1102" s="318"/>
      <c r="E1102" s="318"/>
      <c r="F1102" s="318"/>
      <c r="G1102" s="318"/>
      <c r="H1102" s="318"/>
      <c r="I1102" s="318"/>
      <c r="J1102" s="318"/>
      <c r="K1102" s="318"/>
      <c r="L1102" s="318"/>
      <c r="M1102" s="318"/>
    </row>
    <row r="1103" spans="2:13" ht="15">
      <c r="B1103" s="517"/>
      <c r="C1103" s="318"/>
      <c r="D1103" s="318"/>
      <c r="E1103" s="318"/>
      <c r="F1103" s="318"/>
      <c r="G1103" s="318"/>
      <c r="H1103" s="318"/>
      <c r="I1103" s="318"/>
      <c r="J1103" s="318"/>
      <c r="K1103" s="318"/>
      <c r="L1103" s="318"/>
      <c r="M1103" s="318"/>
    </row>
    <row r="1104" spans="2:13" ht="15">
      <c r="B1104" s="517"/>
      <c r="C1104" s="318"/>
      <c r="D1104" s="318"/>
      <c r="E1104" s="318"/>
      <c r="F1104" s="318"/>
      <c r="G1104" s="318"/>
      <c r="H1104" s="318"/>
      <c r="I1104" s="318"/>
      <c r="J1104" s="318"/>
      <c r="K1104" s="318"/>
      <c r="L1104" s="318"/>
      <c r="M1104" s="318"/>
    </row>
    <row r="1105" spans="2:13" ht="15">
      <c r="B1105" s="517"/>
      <c r="C1105" s="318"/>
      <c r="D1105" s="318"/>
      <c r="E1105" s="318"/>
      <c r="F1105" s="318"/>
      <c r="G1105" s="318"/>
      <c r="H1105" s="318"/>
      <c r="I1105" s="318"/>
      <c r="J1105" s="318"/>
      <c r="K1105" s="318"/>
      <c r="L1105" s="318"/>
      <c r="M1105" s="318"/>
    </row>
    <row r="1106" spans="2:13" ht="15">
      <c r="B1106" s="517"/>
      <c r="C1106" s="318"/>
      <c r="D1106" s="318"/>
      <c r="E1106" s="318"/>
      <c r="F1106" s="318"/>
      <c r="G1106" s="318"/>
      <c r="H1106" s="318"/>
      <c r="I1106" s="318"/>
      <c r="J1106" s="318"/>
      <c r="K1106" s="318"/>
      <c r="L1106" s="318"/>
      <c r="M1106" s="318"/>
    </row>
    <row r="1107" spans="2:13" ht="15">
      <c r="B1107" s="517"/>
      <c r="C1107" s="318"/>
      <c r="D1107" s="318"/>
      <c r="E1107" s="318"/>
      <c r="F1107" s="318"/>
      <c r="G1107" s="318"/>
      <c r="H1107" s="318"/>
      <c r="I1107" s="318"/>
      <c r="J1107" s="318"/>
      <c r="K1107" s="318"/>
      <c r="L1107" s="318"/>
      <c r="M1107" s="318"/>
    </row>
    <row r="1108" spans="2:13" ht="15">
      <c r="B1108" s="517"/>
      <c r="C1108" s="318"/>
      <c r="D1108" s="318"/>
      <c r="E1108" s="318"/>
      <c r="F1108" s="318"/>
      <c r="G1108" s="318"/>
      <c r="H1108" s="318"/>
      <c r="I1108" s="318"/>
      <c r="J1108" s="318"/>
      <c r="K1108" s="318"/>
      <c r="L1108" s="318"/>
      <c r="M1108" s="318"/>
    </row>
    <row r="1109" spans="2:13" ht="15">
      <c r="B1109" s="517"/>
      <c r="C1109" s="318"/>
      <c r="D1109" s="318"/>
      <c r="E1109" s="318"/>
      <c r="F1109" s="318"/>
      <c r="G1109" s="318"/>
      <c r="H1109" s="318"/>
      <c r="I1109" s="318"/>
      <c r="J1109" s="318"/>
      <c r="K1109" s="318"/>
      <c r="L1109" s="318"/>
      <c r="M1109" s="318"/>
    </row>
    <row r="1110" spans="2:13" ht="15">
      <c r="B1110" s="517"/>
      <c r="C1110" s="318"/>
      <c r="D1110" s="318"/>
      <c r="E1110" s="318"/>
      <c r="F1110" s="318"/>
      <c r="G1110" s="318"/>
      <c r="H1110" s="318"/>
      <c r="I1110" s="318"/>
      <c r="J1110" s="318"/>
      <c r="K1110" s="318"/>
      <c r="L1110" s="318"/>
      <c r="M1110" s="318"/>
    </row>
    <row r="1111" spans="2:13" ht="15">
      <c r="B1111" s="517"/>
      <c r="C1111" s="318"/>
      <c r="D1111" s="318"/>
      <c r="E1111" s="318"/>
      <c r="F1111" s="318"/>
      <c r="G1111" s="318"/>
      <c r="H1111" s="318"/>
      <c r="I1111" s="318"/>
      <c r="J1111" s="318"/>
      <c r="K1111" s="318"/>
      <c r="L1111" s="318"/>
      <c r="M1111" s="318"/>
    </row>
    <row r="1112" spans="2:13" ht="15">
      <c r="B1112" s="517"/>
      <c r="C1112" s="318"/>
      <c r="D1112" s="318"/>
      <c r="E1112" s="318"/>
      <c r="F1112" s="318"/>
      <c r="G1112" s="318"/>
      <c r="H1112" s="318"/>
      <c r="I1112" s="318"/>
      <c r="J1112" s="318"/>
      <c r="K1112" s="318"/>
      <c r="L1112" s="318"/>
      <c r="M1112" s="318"/>
    </row>
    <row r="1113" spans="2:13" ht="15">
      <c r="B1113" s="517"/>
      <c r="C1113" s="318"/>
      <c r="D1113" s="318"/>
      <c r="E1113" s="318"/>
      <c r="F1113" s="318"/>
      <c r="G1113" s="318"/>
      <c r="H1113" s="318"/>
      <c r="I1113" s="318"/>
      <c r="J1113" s="318"/>
      <c r="K1113" s="318"/>
      <c r="L1113" s="318"/>
      <c r="M1113" s="318"/>
    </row>
    <row r="1114" spans="2:13" ht="15">
      <c r="B1114" s="517"/>
      <c r="C1114" s="318"/>
      <c r="D1114" s="318"/>
      <c r="E1114" s="318"/>
      <c r="F1114" s="318"/>
      <c r="G1114" s="318"/>
      <c r="H1114" s="318"/>
      <c r="I1114" s="318"/>
      <c r="J1114" s="318"/>
      <c r="K1114" s="318"/>
      <c r="L1114" s="318"/>
      <c r="M1114" s="318"/>
    </row>
    <row r="1115" spans="2:13" ht="15">
      <c r="B1115" s="517"/>
      <c r="C1115" s="318"/>
      <c r="D1115" s="318"/>
      <c r="E1115" s="318"/>
      <c r="F1115" s="318"/>
      <c r="G1115" s="318"/>
      <c r="H1115" s="318"/>
      <c r="I1115" s="318"/>
      <c r="J1115" s="318"/>
      <c r="K1115" s="318"/>
      <c r="L1115" s="318"/>
      <c r="M1115" s="318"/>
    </row>
    <row r="1116" spans="2:13" ht="15">
      <c r="B1116" s="517"/>
      <c r="C1116" s="318"/>
      <c r="D1116" s="318"/>
      <c r="E1116" s="318"/>
      <c r="F1116" s="318"/>
      <c r="G1116" s="318"/>
      <c r="H1116" s="318"/>
      <c r="I1116" s="318"/>
      <c r="J1116" s="318"/>
      <c r="K1116" s="318"/>
      <c r="L1116" s="318"/>
      <c r="M1116" s="318"/>
    </row>
    <row r="1117" spans="2:13" ht="15">
      <c r="B1117" s="517"/>
      <c r="C1117" s="318"/>
      <c r="D1117" s="318"/>
      <c r="E1117" s="318"/>
      <c r="F1117" s="318"/>
      <c r="G1117" s="318"/>
      <c r="H1117" s="318"/>
      <c r="I1117" s="318"/>
      <c r="J1117" s="318"/>
      <c r="K1117" s="318"/>
      <c r="L1117" s="318"/>
      <c r="M1117" s="318"/>
    </row>
    <row r="1118" spans="2:13" ht="15">
      <c r="B1118" s="517"/>
      <c r="C1118" s="318"/>
      <c r="D1118" s="318"/>
      <c r="E1118" s="318"/>
      <c r="F1118" s="318"/>
      <c r="G1118" s="318"/>
      <c r="H1118" s="318"/>
      <c r="I1118" s="318"/>
      <c r="J1118" s="318"/>
      <c r="K1118" s="318"/>
      <c r="L1118" s="318"/>
      <c r="M1118" s="318"/>
    </row>
    <row r="1119" spans="2:13" ht="15">
      <c r="B1119" s="517"/>
      <c r="C1119" s="318"/>
      <c r="D1119" s="318"/>
      <c r="E1119" s="318"/>
      <c r="F1119" s="318"/>
      <c r="G1119" s="318"/>
      <c r="H1119" s="318"/>
      <c r="I1119" s="318"/>
      <c r="J1119" s="318"/>
      <c r="K1119" s="318"/>
      <c r="L1119" s="318"/>
      <c r="M1119" s="318"/>
    </row>
    <row r="1120" spans="2:13" ht="15">
      <c r="B1120" s="517"/>
      <c r="C1120" s="318"/>
      <c r="D1120" s="318"/>
      <c r="E1120" s="318"/>
      <c r="F1120" s="318"/>
      <c r="G1120" s="318"/>
      <c r="H1120" s="318"/>
      <c r="I1120" s="318"/>
      <c r="J1120" s="318"/>
      <c r="K1120" s="318"/>
      <c r="L1120" s="318"/>
      <c r="M1120" s="318"/>
    </row>
    <row r="1121" spans="2:13" ht="15">
      <c r="B1121" s="517"/>
      <c r="C1121" s="318"/>
      <c r="D1121" s="318"/>
      <c r="E1121" s="318"/>
      <c r="F1121" s="318"/>
      <c r="G1121" s="318"/>
      <c r="H1121" s="318"/>
      <c r="I1121" s="318"/>
      <c r="J1121" s="318"/>
      <c r="K1121" s="318"/>
      <c r="L1121" s="318"/>
      <c r="M1121" s="318"/>
    </row>
    <row r="1122" spans="2:13" ht="15">
      <c r="B1122" s="517"/>
      <c r="C1122" s="318"/>
      <c r="D1122" s="318"/>
      <c r="E1122" s="318"/>
      <c r="F1122" s="318"/>
      <c r="G1122" s="318"/>
      <c r="H1122" s="318"/>
      <c r="I1122" s="318"/>
      <c r="J1122" s="318"/>
      <c r="K1122" s="318"/>
      <c r="L1122" s="318"/>
      <c r="M1122" s="318"/>
    </row>
    <row r="1123" spans="2:13" ht="15">
      <c r="B1123" s="517"/>
      <c r="C1123" s="318"/>
      <c r="D1123" s="318"/>
      <c r="E1123" s="318"/>
      <c r="F1123" s="318"/>
      <c r="G1123" s="318"/>
      <c r="H1123" s="318"/>
      <c r="I1123" s="318"/>
      <c r="J1123" s="318"/>
      <c r="K1123" s="318"/>
      <c r="L1123" s="318"/>
      <c r="M1123" s="318"/>
    </row>
    <row r="1124" spans="2:13" ht="15">
      <c r="B1124" s="517"/>
      <c r="C1124" s="318"/>
      <c r="D1124" s="318"/>
      <c r="E1124" s="318"/>
      <c r="F1124" s="318"/>
      <c r="G1124" s="318"/>
      <c r="H1124" s="318"/>
      <c r="I1124" s="318"/>
      <c r="J1124" s="318"/>
      <c r="K1124" s="318"/>
      <c r="L1124" s="318"/>
      <c r="M1124" s="318"/>
    </row>
    <row r="1125" spans="2:13" ht="15">
      <c r="B1125" s="517"/>
      <c r="C1125" s="318"/>
      <c r="D1125" s="318"/>
      <c r="E1125" s="318"/>
      <c r="F1125" s="318"/>
      <c r="G1125" s="318"/>
      <c r="H1125" s="318"/>
      <c r="I1125" s="318"/>
      <c r="J1125" s="318"/>
      <c r="K1125" s="318"/>
      <c r="L1125" s="318"/>
      <c r="M1125" s="318"/>
    </row>
    <row r="1126" spans="2:13" ht="15">
      <c r="B1126" s="517"/>
      <c r="C1126" s="318"/>
      <c r="D1126" s="318"/>
      <c r="E1126" s="318"/>
      <c r="F1126" s="318"/>
      <c r="G1126" s="318"/>
      <c r="H1126" s="318"/>
      <c r="I1126" s="318"/>
      <c r="J1126" s="318"/>
      <c r="K1126" s="318"/>
      <c r="L1126" s="318"/>
      <c r="M1126" s="318"/>
    </row>
    <row r="1127" spans="2:13" ht="15">
      <c r="B1127" s="517"/>
      <c r="C1127" s="318"/>
      <c r="D1127" s="318"/>
      <c r="E1127" s="318"/>
      <c r="F1127" s="318"/>
      <c r="G1127" s="318"/>
      <c r="H1127" s="318"/>
      <c r="I1127" s="318"/>
      <c r="J1127" s="318"/>
      <c r="K1127" s="318"/>
      <c r="L1127" s="318"/>
      <c r="M1127" s="318"/>
    </row>
    <row r="1128" spans="2:13" ht="15">
      <c r="B1128" s="517"/>
      <c r="C1128" s="318"/>
      <c r="D1128" s="318"/>
      <c r="E1128" s="318"/>
      <c r="F1128" s="318"/>
      <c r="G1128" s="318"/>
      <c r="H1128" s="318"/>
      <c r="I1128" s="318"/>
      <c r="J1128" s="318"/>
      <c r="K1128" s="318"/>
      <c r="L1128" s="318"/>
      <c r="M1128" s="318"/>
    </row>
    <row r="1129" spans="2:13" ht="15">
      <c r="B1129" s="517"/>
      <c r="C1129" s="318"/>
      <c r="D1129" s="318"/>
      <c r="E1129" s="318"/>
      <c r="F1129" s="318"/>
      <c r="G1129" s="318"/>
      <c r="H1129" s="318"/>
      <c r="I1129" s="318"/>
      <c r="J1129" s="318"/>
      <c r="K1129" s="318"/>
      <c r="L1129" s="318"/>
      <c r="M1129" s="318"/>
    </row>
    <row r="1130" spans="2:13" ht="15">
      <c r="B1130" s="517"/>
      <c r="C1130" s="318"/>
      <c r="D1130" s="318"/>
      <c r="E1130" s="318"/>
      <c r="F1130" s="318"/>
      <c r="G1130" s="318"/>
      <c r="H1130" s="318"/>
      <c r="I1130" s="318"/>
      <c r="J1130" s="318"/>
      <c r="K1130" s="318"/>
      <c r="L1130" s="318"/>
      <c r="M1130" s="318"/>
    </row>
    <row r="1131" spans="2:13" ht="15">
      <c r="B1131" s="517"/>
      <c r="C1131" s="318"/>
      <c r="D1131" s="318"/>
      <c r="E1131" s="318"/>
      <c r="F1131" s="318"/>
      <c r="G1131" s="318"/>
      <c r="H1131" s="318"/>
      <c r="I1131" s="318"/>
      <c r="J1131" s="318"/>
      <c r="K1131" s="318"/>
      <c r="L1131" s="318"/>
      <c r="M1131" s="318"/>
    </row>
    <row r="1132" spans="2:13" ht="15">
      <c r="B1132" s="517"/>
      <c r="C1132" s="318"/>
      <c r="D1132" s="318"/>
      <c r="E1132" s="318"/>
      <c r="F1132" s="318"/>
      <c r="G1132" s="318"/>
      <c r="H1132" s="318"/>
      <c r="I1132" s="318"/>
      <c r="J1132" s="318"/>
      <c r="K1132" s="318"/>
      <c r="L1132" s="318"/>
      <c r="M1132" s="318"/>
    </row>
    <row r="1133" spans="2:13" ht="15">
      <c r="B1133" s="517"/>
      <c r="C1133" s="318"/>
      <c r="D1133" s="318"/>
      <c r="E1133" s="318"/>
      <c r="F1133" s="318"/>
      <c r="G1133" s="318"/>
      <c r="H1133" s="318"/>
      <c r="I1133" s="318"/>
      <c r="J1133" s="318"/>
      <c r="K1133" s="318"/>
      <c r="L1133" s="318"/>
      <c r="M1133" s="318"/>
    </row>
    <row r="1134" spans="2:13" ht="15">
      <c r="B1134" s="517"/>
      <c r="C1134" s="318"/>
      <c r="D1134" s="318"/>
      <c r="E1134" s="318"/>
      <c r="F1134" s="318"/>
      <c r="G1134" s="318"/>
      <c r="H1134" s="318"/>
      <c r="I1134" s="318"/>
      <c r="J1134" s="318"/>
      <c r="K1134" s="318"/>
      <c r="L1134" s="318"/>
      <c r="M1134" s="318"/>
    </row>
    <row r="1135" spans="2:13" ht="15">
      <c r="B1135" s="517"/>
      <c r="C1135" s="318"/>
      <c r="D1135" s="318"/>
      <c r="E1135" s="318"/>
      <c r="F1135" s="318"/>
      <c r="G1135" s="318"/>
      <c r="H1135" s="318"/>
      <c r="I1135" s="318"/>
      <c r="J1135" s="318"/>
      <c r="K1135" s="318"/>
      <c r="L1135" s="318"/>
      <c r="M1135" s="318"/>
    </row>
    <row r="1136" spans="2:13" ht="15">
      <c r="B1136" s="517"/>
      <c r="C1136" s="318"/>
      <c r="D1136" s="318"/>
      <c r="E1136" s="318"/>
      <c r="F1136" s="318"/>
      <c r="G1136" s="318"/>
      <c r="H1136" s="318"/>
      <c r="I1136" s="318"/>
      <c r="J1136" s="318"/>
      <c r="K1136" s="318"/>
      <c r="L1136" s="318"/>
      <c r="M1136" s="318"/>
    </row>
    <row r="1137" spans="2:13" ht="15">
      <c r="B1137" s="517"/>
      <c r="C1137" s="318"/>
      <c r="D1137" s="318"/>
      <c r="E1137" s="318"/>
      <c r="F1137" s="318"/>
      <c r="G1137" s="318"/>
      <c r="H1137" s="318"/>
      <c r="I1137" s="318"/>
      <c r="J1137" s="318"/>
      <c r="K1137" s="318"/>
      <c r="L1137" s="318"/>
      <c r="M1137" s="318"/>
    </row>
    <row r="1138" spans="2:13" ht="15">
      <c r="B1138" s="517"/>
      <c r="C1138" s="318"/>
      <c r="D1138" s="318"/>
      <c r="E1138" s="318"/>
      <c r="F1138" s="318"/>
      <c r="G1138" s="318"/>
      <c r="H1138" s="318"/>
      <c r="I1138" s="318"/>
      <c r="J1138" s="318"/>
      <c r="K1138" s="318"/>
      <c r="L1138" s="318"/>
      <c r="M1138" s="318"/>
    </row>
    <row r="1139" spans="2:13" ht="15">
      <c r="B1139" s="517"/>
      <c r="C1139" s="318"/>
      <c r="D1139" s="318"/>
      <c r="E1139" s="318"/>
      <c r="F1139" s="318"/>
      <c r="G1139" s="318"/>
      <c r="H1139" s="318"/>
      <c r="I1139" s="318"/>
      <c r="J1139" s="318"/>
      <c r="K1139" s="318"/>
      <c r="L1139" s="318"/>
      <c r="M1139" s="318"/>
    </row>
    <row r="1140" spans="2:13" ht="15">
      <c r="B1140" s="517"/>
      <c r="C1140" s="318"/>
      <c r="D1140" s="318"/>
      <c r="E1140" s="318"/>
      <c r="F1140" s="318"/>
      <c r="G1140" s="318"/>
      <c r="H1140" s="318"/>
      <c r="I1140" s="318"/>
      <c r="J1140" s="318"/>
      <c r="K1140" s="318"/>
      <c r="L1140" s="318"/>
      <c r="M1140" s="318"/>
    </row>
    <row r="1141" spans="2:13" ht="15">
      <c r="B1141" s="517"/>
      <c r="C1141" s="318"/>
      <c r="D1141" s="318"/>
      <c r="E1141" s="318"/>
      <c r="F1141" s="318"/>
      <c r="G1141" s="318"/>
      <c r="H1141" s="318"/>
      <c r="I1141" s="318"/>
      <c r="J1141" s="318"/>
      <c r="K1141" s="318"/>
      <c r="L1141" s="318"/>
      <c r="M1141" s="318"/>
    </row>
    <row r="1142" spans="2:13" ht="15">
      <c r="B1142" s="517"/>
      <c r="C1142" s="318"/>
      <c r="D1142" s="318"/>
      <c r="E1142" s="318"/>
      <c r="F1142" s="318"/>
      <c r="G1142" s="318"/>
      <c r="H1142" s="318"/>
      <c r="I1142" s="318"/>
      <c r="J1142" s="318"/>
      <c r="K1142" s="318"/>
      <c r="L1142" s="318"/>
      <c r="M1142" s="318"/>
    </row>
    <row r="1143" spans="2:13" ht="15">
      <c r="B1143" s="517"/>
      <c r="C1143" s="318"/>
      <c r="D1143" s="318"/>
      <c r="E1143" s="318"/>
      <c r="F1143" s="318"/>
      <c r="G1143" s="318"/>
      <c r="H1143" s="318"/>
      <c r="I1143" s="318"/>
      <c r="J1143" s="318"/>
      <c r="K1143" s="318"/>
      <c r="L1143" s="318"/>
      <c r="M1143" s="318"/>
    </row>
    <row r="1144" spans="2:13" ht="15">
      <c r="B1144" s="517"/>
      <c r="C1144" s="318"/>
      <c r="D1144" s="318"/>
      <c r="E1144" s="318"/>
      <c r="F1144" s="318"/>
      <c r="G1144" s="318"/>
      <c r="H1144" s="318"/>
      <c r="I1144" s="318"/>
      <c r="J1144" s="318"/>
      <c r="K1144" s="318"/>
      <c r="L1144" s="318"/>
      <c r="M1144" s="318"/>
    </row>
    <row r="1145" spans="2:13" ht="15">
      <c r="B1145" s="517"/>
      <c r="C1145" s="318"/>
      <c r="D1145" s="318"/>
      <c r="E1145" s="318"/>
      <c r="F1145" s="318"/>
      <c r="G1145" s="318"/>
      <c r="H1145" s="318"/>
      <c r="I1145" s="318"/>
      <c r="J1145" s="318"/>
      <c r="K1145" s="318"/>
      <c r="L1145" s="318"/>
      <c r="M1145" s="318"/>
    </row>
    <row r="1146" spans="2:13" ht="15">
      <c r="B1146" s="517"/>
      <c r="C1146" s="318"/>
      <c r="D1146" s="318"/>
      <c r="E1146" s="318"/>
      <c r="F1146" s="318"/>
      <c r="G1146" s="318"/>
      <c r="H1146" s="318"/>
      <c r="I1146" s="318"/>
      <c r="J1146" s="318"/>
      <c r="K1146" s="318"/>
      <c r="L1146" s="318"/>
      <c r="M1146" s="318"/>
    </row>
    <row r="1147" spans="2:13" ht="15">
      <c r="B1147" s="517"/>
      <c r="C1147" s="318"/>
      <c r="D1147" s="318"/>
      <c r="E1147" s="318"/>
      <c r="F1147" s="318"/>
      <c r="G1147" s="318"/>
      <c r="H1147" s="318"/>
      <c r="I1147" s="318"/>
      <c r="J1147" s="318"/>
      <c r="K1147" s="318"/>
      <c r="L1147" s="318"/>
      <c r="M1147" s="318"/>
    </row>
    <row r="1148" spans="2:13" ht="15">
      <c r="B1148" s="517"/>
      <c r="C1148" s="318"/>
      <c r="D1148" s="318"/>
      <c r="E1148" s="318"/>
      <c r="F1148" s="318"/>
      <c r="G1148" s="318"/>
      <c r="H1148" s="318"/>
      <c r="I1148" s="318"/>
      <c r="J1148" s="318"/>
      <c r="K1148" s="318"/>
      <c r="L1148" s="318"/>
      <c r="M1148" s="318"/>
    </row>
    <row r="1149" spans="2:13" ht="15">
      <c r="B1149" s="517"/>
      <c r="C1149" s="318"/>
      <c r="D1149" s="318"/>
      <c r="E1149" s="318"/>
      <c r="F1149" s="318"/>
      <c r="G1149" s="318"/>
      <c r="H1149" s="318"/>
      <c r="I1149" s="318"/>
      <c r="J1149" s="318"/>
      <c r="K1149" s="318"/>
      <c r="L1149" s="318"/>
      <c r="M1149" s="318"/>
    </row>
    <row r="1150" spans="2:13" ht="15">
      <c r="B1150" s="517"/>
      <c r="C1150" s="318"/>
      <c r="D1150" s="318"/>
      <c r="E1150" s="318"/>
      <c r="F1150" s="318"/>
      <c r="G1150" s="318"/>
      <c r="H1150" s="318"/>
      <c r="I1150" s="318"/>
      <c r="J1150" s="318"/>
      <c r="K1150" s="318"/>
      <c r="L1150" s="318"/>
      <c r="M1150" s="318"/>
    </row>
    <row r="1151" spans="2:13" ht="15">
      <c r="B1151" s="517"/>
      <c r="C1151" s="318"/>
      <c r="D1151" s="318"/>
      <c r="E1151" s="318"/>
      <c r="F1151" s="318"/>
      <c r="G1151" s="318"/>
      <c r="H1151" s="318"/>
      <c r="I1151" s="318"/>
      <c r="J1151" s="318"/>
      <c r="K1151" s="318"/>
      <c r="L1151" s="318"/>
      <c r="M1151" s="318"/>
    </row>
    <row r="1152" spans="2:13" ht="15">
      <c r="B1152" s="517"/>
      <c r="C1152" s="318"/>
      <c r="D1152" s="318"/>
      <c r="E1152" s="318"/>
      <c r="F1152" s="318"/>
      <c r="G1152" s="318"/>
      <c r="H1152" s="318"/>
      <c r="I1152" s="318"/>
      <c r="J1152" s="318"/>
      <c r="K1152" s="318"/>
      <c r="L1152" s="318"/>
      <c r="M1152" s="318"/>
    </row>
    <row r="1153" spans="2:13" ht="15">
      <c r="B1153" s="517"/>
      <c r="C1153" s="318"/>
      <c r="D1153" s="318"/>
      <c r="E1153" s="318"/>
      <c r="F1153" s="318"/>
      <c r="G1153" s="318"/>
      <c r="H1153" s="318"/>
      <c r="I1153" s="318"/>
      <c r="J1153" s="318"/>
      <c r="K1153" s="318"/>
      <c r="L1153" s="318"/>
      <c r="M1153" s="318"/>
    </row>
    <row r="1154" spans="2:13" ht="15">
      <c r="B1154" s="517"/>
      <c r="C1154" s="318"/>
      <c r="D1154" s="318"/>
      <c r="E1154" s="318"/>
      <c r="F1154" s="318"/>
      <c r="G1154" s="318"/>
      <c r="H1154" s="318"/>
      <c r="I1154" s="318"/>
      <c r="J1154" s="318"/>
      <c r="K1154" s="318"/>
      <c r="L1154" s="318"/>
      <c r="M1154" s="318"/>
    </row>
    <row r="1155" spans="2:13" ht="15">
      <c r="B1155" s="517"/>
      <c r="C1155" s="318"/>
      <c r="D1155" s="318"/>
      <c r="E1155" s="318"/>
      <c r="F1155" s="318"/>
      <c r="G1155" s="318"/>
      <c r="H1155" s="318"/>
      <c r="I1155" s="318"/>
      <c r="J1155" s="318"/>
      <c r="K1155" s="318"/>
      <c r="L1155" s="318"/>
      <c r="M1155" s="318"/>
    </row>
    <row r="1156" spans="2:13" ht="15">
      <c r="B1156" s="517"/>
      <c r="C1156" s="318"/>
      <c r="D1156" s="318"/>
      <c r="E1156" s="318"/>
      <c r="F1156" s="318"/>
      <c r="G1156" s="318"/>
      <c r="H1156" s="318"/>
      <c r="I1156" s="318"/>
      <c r="J1156" s="318"/>
      <c r="K1156" s="318"/>
      <c r="L1156" s="318"/>
      <c r="M1156" s="318"/>
    </row>
    <row r="1157" spans="2:13" ht="15">
      <c r="B1157" s="517"/>
      <c r="C1157" s="318"/>
      <c r="D1157" s="318"/>
      <c r="E1157" s="318"/>
      <c r="F1157" s="318"/>
      <c r="G1157" s="318"/>
      <c r="H1157" s="318"/>
      <c r="I1157" s="318"/>
      <c r="J1157" s="318"/>
      <c r="K1157" s="318"/>
      <c r="L1157" s="318"/>
      <c r="M1157" s="318"/>
    </row>
    <row r="1158" spans="2:13" ht="15">
      <c r="B1158" s="517"/>
      <c r="C1158" s="318"/>
      <c r="D1158" s="318"/>
      <c r="E1158" s="318"/>
      <c r="F1158" s="318"/>
      <c r="G1158" s="318"/>
      <c r="H1158" s="318"/>
      <c r="I1158" s="318"/>
      <c r="J1158" s="318"/>
      <c r="K1158" s="318"/>
      <c r="L1158" s="318"/>
      <c r="M1158" s="318"/>
    </row>
    <row r="1159" spans="2:13" ht="15">
      <c r="B1159" s="517"/>
      <c r="C1159" s="318"/>
      <c r="D1159" s="318"/>
      <c r="E1159" s="318"/>
      <c r="F1159" s="318"/>
      <c r="G1159" s="318"/>
      <c r="H1159" s="318"/>
      <c r="I1159" s="318"/>
      <c r="J1159" s="318"/>
      <c r="K1159" s="318"/>
      <c r="L1159" s="318"/>
      <c r="M1159" s="318"/>
    </row>
    <row r="1160" spans="2:13" ht="15">
      <c r="B1160" s="517"/>
      <c r="C1160" s="318"/>
      <c r="D1160" s="318"/>
      <c r="E1160" s="318"/>
      <c r="F1160" s="318"/>
      <c r="G1160" s="318"/>
      <c r="H1160" s="318"/>
      <c r="I1160" s="318"/>
      <c r="J1160" s="318"/>
      <c r="K1160" s="318"/>
      <c r="L1160" s="318"/>
      <c r="M1160" s="318"/>
    </row>
    <row r="1161" spans="2:13" ht="15">
      <c r="B1161" s="517"/>
      <c r="C1161" s="318"/>
      <c r="D1161" s="318"/>
      <c r="E1161" s="318"/>
      <c r="F1161" s="318"/>
      <c r="G1161" s="318"/>
      <c r="H1161" s="318"/>
      <c r="I1161" s="318"/>
      <c r="J1161" s="318"/>
      <c r="K1161" s="318"/>
      <c r="L1161" s="318"/>
      <c r="M1161" s="318"/>
    </row>
    <row r="1162" spans="2:13" ht="15">
      <c r="B1162" s="517"/>
      <c r="C1162" s="318"/>
      <c r="D1162" s="318"/>
      <c r="E1162" s="318"/>
      <c r="F1162" s="318"/>
      <c r="G1162" s="318"/>
      <c r="H1162" s="318"/>
      <c r="I1162" s="318"/>
      <c r="J1162" s="318"/>
      <c r="K1162" s="318"/>
      <c r="L1162" s="318"/>
      <c r="M1162" s="318"/>
    </row>
    <row r="1163" spans="2:13" ht="15">
      <c r="B1163" s="517"/>
      <c r="C1163" s="318"/>
      <c r="D1163" s="318"/>
      <c r="E1163" s="318"/>
      <c r="F1163" s="318"/>
      <c r="G1163" s="318"/>
      <c r="H1163" s="318"/>
      <c r="I1163" s="318"/>
      <c r="J1163" s="318"/>
      <c r="K1163" s="318"/>
      <c r="L1163" s="318"/>
      <c r="M1163" s="318"/>
    </row>
    <row r="1164" spans="2:13" ht="15">
      <c r="B1164" s="517"/>
      <c r="C1164" s="318"/>
      <c r="D1164" s="318"/>
      <c r="E1164" s="318"/>
      <c r="F1164" s="318"/>
      <c r="G1164" s="318"/>
      <c r="H1164" s="318"/>
      <c r="I1164" s="318"/>
      <c r="J1164" s="318"/>
      <c r="K1164" s="318"/>
      <c r="L1164" s="318"/>
      <c r="M1164" s="318"/>
    </row>
    <row r="1165" spans="2:13" ht="15">
      <c r="B1165" s="517"/>
      <c r="C1165" s="318"/>
      <c r="D1165" s="318"/>
      <c r="E1165" s="318"/>
      <c r="F1165" s="318"/>
      <c r="G1165" s="318"/>
      <c r="H1165" s="318"/>
      <c r="I1165" s="318"/>
      <c r="J1165" s="318"/>
      <c r="K1165" s="318"/>
      <c r="L1165" s="318"/>
      <c r="M1165" s="318"/>
    </row>
    <row r="1166" spans="2:13" ht="15">
      <c r="B1166" s="517"/>
      <c r="C1166" s="318"/>
      <c r="D1166" s="318"/>
      <c r="E1166" s="318"/>
      <c r="F1166" s="318"/>
      <c r="G1166" s="318"/>
      <c r="H1166" s="318"/>
      <c r="I1166" s="318"/>
      <c r="J1166" s="318"/>
      <c r="K1166" s="318"/>
      <c r="L1166" s="318"/>
      <c r="M1166" s="318"/>
    </row>
    <row r="1167" spans="2:13" ht="15">
      <c r="B1167" s="517"/>
      <c r="C1167" s="318"/>
      <c r="D1167" s="318"/>
      <c r="E1167" s="318"/>
      <c r="F1167" s="318"/>
      <c r="G1167" s="318"/>
      <c r="H1167" s="318"/>
      <c r="I1167" s="318"/>
      <c r="J1167" s="318"/>
      <c r="K1167" s="318"/>
      <c r="L1167" s="318"/>
      <c r="M1167" s="318"/>
    </row>
    <row r="1168" spans="2:13" ht="15">
      <c r="B1168" s="517"/>
      <c r="C1168" s="318"/>
      <c r="D1168" s="318"/>
      <c r="E1168" s="318"/>
      <c r="F1168" s="318"/>
      <c r="G1168" s="318"/>
      <c r="H1168" s="318"/>
      <c r="I1168" s="318"/>
      <c r="J1168" s="318"/>
      <c r="K1168" s="318"/>
      <c r="L1168" s="318"/>
      <c r="M1168" s="318"/>
    </row>
    <row r="1169" spans="2:13" ht="15">
      <c r="B1169" s="517"/>
      <c r="C1169" s="318"/>
      <c r="D1169" s="318"/>
      <c r="E1169" s="318"/>
      <c r="F1169" s="318"/>
      <c r="G1169" s="318"/>
      <c r="H1169" s="318"/>
      <c r="I1169" s="318"/>
      <c r="J1169" s="318"/>
      <c r="K1169" s="318"/>
      <c r="L1169" s="318"/>
      <c r="M1169" s="318"/>
    </row>
    <row r="1170" spans="2:13" ht="15">
      <c r="B1170" s="517"/>
      <c r="C1170" s="318"/>
      <c r="D1170" s="318"/>
      <c r="E1170" s="318"/>
      <c r="F1170" s="318"/>
      <c r="G1170" s="318"/>
      <c r="H1170" s="318"/>
      <c r="I1170" s="318"/>
      <c r="J1170" s="318"/>
      <c r="K1170" s="318"/>
      <c r="L1170" s="318"/>
      <c r="M1170" s="318"/>
    </row>
    <row r="1171" spans="2:13" ht="15">
      <c r="B1171" s="517"/>
      <c r="C1171" s="318"/>
      <c r="D1171" s="318"/>
      <c r="E1171" s="318"/>
      <c r="F1171" s="318"/>
      <c r="G1171" s="318"/>
      <c r="H1171" s="318"/>
      <c r="I1171" s="318"/>
      <c r="J1171" s="318"/>
      <c r="K1171" s="318"/>
      <c r="L1171" s="318"/>
      <c r="M1171" s="318"/>
    </row>
    <row r="1172" spans="2:13" ht="15">
      <c r="B1172" s="517"/>
      <c r="C1172" s="318"/>
      <c r="D1172" s="318"/>
      <c r="E1172" s="318"/>
      <c r="F1172" s="318"/>
      <c r="G1172" s="318"/>
      <c r="H1172" s="318"/>
      <c r="I1172" s="318"/>
      <c r="J1172" s="318"/>
      <c r="K1172" s="318"/>
      <c r="L1172" s="318"/>
      <c r="M1172" s="318"/>
    </row>
    <row r="1173" spans="2:13" ht="15">
      <c r="B1173" s="517"/>
      <c r="C1173" s="318"/>
      <c r="D1173" s="318"/>
      <c r="E1173" s="318"/>
      <c r="F1173" s="318"/>
      <c r="G1173" s="318"/>
      <c r="H1173" s="318"/>
      <c r="I1173" s="318"/>
      <c r="J1173" s="318"/>
      <c r="K1173" s="318"/>
      <c r="L1173" s="318"/>
      <c r="M1173" s="318"/>
    </row>
    <row r="1174" spans="2:13" ht="15">
      <c r="B1174" s="517"/>
      <c r="C1174" s="318"/>
      <c r="D1174" s="318"/>
      <c r="E1174" s="318"/>
      <c r="F1174" s="318"/>
      <c r="G1174" s="318"/>
      <c r="H1174" s="318"/>
      <c r="I1174" s="318"/>
      <c r="J1174" s="318"/>
      <c r="K1174" s="318"/>
      <c r="L1174" s="318"/>
      <c r="M1174" s="318"/>
    </row>
    <row r="1175" spans="2:13" ht="15">
      <c r="B1175" s="517"/>
      <c r="C1175" s="318"/>
      <c r="D1175" s="318"/>
      <c r="E1175" s="318"/>
      <c r="F1175" s="318"/>
      <c r="G1175" s="318"/>
      <c r="H1175" s="318"/>
      <c r="I1175" s="318"/>
      <c r="J1175" s="318"/>
      <c r="K1175" s="318"/>
      <c r="L1175" s="318"/>
      <c r="M1175" s="318"/>
    </row>
    <row r="1176" spans="2:13" ht="15">
      <c r="B1176" s="517"/>
      <c r="C1176" s="318"/>
      <c r="D1176" s="318"/>
      <c r="E1176" s="318"/>
      <c r="F1176" s="318"/>
      <c r="G1176" s="318"/>
      <c r="H1176" s="318"/>
      <c r="I1176" s="318"/>
      <c r="J1176" s="318"/>
      <c r="K1176" s="318"/>
      <c r="L1176" s="318"/>
      <c r="M1176" s="318"/>
    </row>
    <row r="1177" spans="2:13" ht="15">
      <c r="B1177" s="517"/>
      <c r="C1177" s="318"/>
      <c r="D1177" s="318"/>
      <c r="E1177" s="318"/>
      <c r="F1177" s="318"/>
      <c r="G1177" s="318"/>
      <c r="H1177" s="318"/>
      <c r="I1177" s="318"/>
      <c r="J1177" s="318"/>
      <c r="K1177" s="318"/>
      <c r="L1177" s="318"/>
      <c r="M1177" s="318"/>
    </row>
    <row r="1178" spans="2:13" ht="15">
      <c r="B1178" s="517"/>
      <c r="C1178" s="318"/>
      <c r="D1178" s="318"/>
      <c r="E1178" s="318"/>
      <c r="F1178" s="318"/>
      <c r="G1178" s="318"/>
      <c r="H1178" s="318"/>
      <c r="I1178" s="318"/>
      <c r="J1178" s="318"/>
      <c r="K1178" s="318"/>
      <c r="L1178" s="318"/>
      <c r="M1178" s="318"/>
    </row>
    <row r="1179" spans="2:13" ht="15">
      <c r="B1179" s="517"/>
      <c r="C1179" s="318"/>
      <c r="D1179" s="318"/>
      <c r="E1179" s="318"/>
      <c r="F1179" s="318"/>
      <c r="G1179" s="318"/>
      <c r="H1179" s="318"/>
      <c r="I1179" s="318"/>
      <c r="J1179" s="318"/>
      <c r="K1179" s="318"/>
      <c r="L1179" s="318"/>
      <c r="M1179" s="318"/>
    </row>
    <row r="1180" spans="2:13" ht="15">
      <c r="B1180" s="517"/>
      <c r="C1180" s="318"/>
      <c r="D1180" s="318"/>
      <c r="E1180" s="318"/>
      <c r="F1180" s="318"/>
      <c r="G1180" s="318"/>
      <c r="H1180" s="318"/>
      <c r="I1180" s="318"/>
      <c r="J1180" s="318"/>
      <c r="K1180" s="318"/>
      <c r="L1180" s="318"/>
      <c r="M1180" s="318"/>
    </row>
    <row r="1181" spans="2:13" ht="15">
      <c r="B1181" s="517"/>
      <c r="C1181" s="318"/>
      <c r="D1181" s="318"/>
      <c r="E1181" s="318"/>
      <c r="F1181" s="318"/>
      <c r="G1181" s="318"/>
      <c r="H1181" s="318"/>
      <c r="I1181" s="318"/>
      <c r="J1181" s="318"/>
      <c r="K1181" s="318"/>
      <c r="L1181" s="318"/>
      <c r="M1181" s="318"/>
    </row>
    <row r="1182" spans="2:13" ht="15">
      <c r="B1182" s="517"/>
      <c r="C1182" s="318"/>
      <c r="D1182" s="318"/>
      <c r="E1182" s="318"/>
      <c r="F1182" s="318"/>
      <c r="G1182" s="318"/>
      <c r="H1182" s="318"/>
      <c r="I1182" s="318"/>
      <c r="J1182" s="318"/>
      <c r="K1182" s="318"/>
      <c r="L1182" s="318"/>
      <c r="M1182" s="318"/>
    </row>
    <row r="1183" spans="2:13" ht="15">
      <c r="B1183" s="517"/>
      <c r="C1183" s="318"/>
      <c r="D1183" s="318"/>
      <c r="E1183" s="318"/>
      <c r="F1183" s="318"/>
      <c r="G1183" s="318"/>
      <c r="H1183" s="318"/>
      <c r="I1183" s="318"/>
      <c r="J1183" s="318"/>
      <c r="K1183" s="318"/>
      <c r="L1183" s="318"/>
      <c r="M1183" s="318"/>
    </row>
    <row r="1184" spans="2:13" ht="15">
      <c r="B1184" s="517"/>
      <c r="C1184" s="318"/>
      <c r="D1184" s="318"/>
      <c r="E1184" s="318"/>
      <c r="F1184" s="318"/>
      <c r="G1184" s="318"/>
      <c r="H1184" s="318"/>
      <c r="I1184" s="318"/>
      <c r="J1184" s="318"/>
      <c r="K1184" s="318"/>
      <c r="L1184" s="318"/>
      <c r="M1184" s="318"/>
    </row>
    <row r="1185" spans="2:13" ht="15">
      <c r="B1185" s="517"/>
      <c r="C1185" s="318"/>
      <c r="D1185" s="318"/>
      <c r="E1185" s="318"/>
      <c r="F1185" s="318"/>
      <c r="G1185" s="318"/>
      <c r="H1185" s="318"/>
      <c r="I1185" s="318"/>
      <c r="J1185" s="318"/>
      <c r="K1185" s="318"/>
      <c r="L1185" s="318"/>
      <c r="M1185" s="318"/>
    </row>
    <row r="1186" spans="2:13" ht="15">
      <c r="B1186" s="517"/>
      <c r="C1186" s="318"/>
      <c r="D1186" s="318"/>
      <c r="E1186" s="318"/>
      <c r="F1186" s="318"/>
      <c r="G1186" s="318"/>
      <c r="H1186" s="318"/>
      <c r="I1186" s="318"/>
      <c r="J1186" s="318"/>
      <c r="K1186" s="318"/>
      <c r="L1186" s="318"/>
      <c r="M1186" s="318"/>
    </row>
    <row r="1187" spans="2:13" ht="15">
      <c r="B1187" s="517"/>
      <c r="C1187" s="318"/>
      <c r="D1187" s="318"/>
      <c r="E1187" s="318"/>
      <c r="F1187" s="318"/>
      <c r="G1187" s="318"/>
      <c r="H1187" s="318"/>
      <c r="I1187" s="318"/>
      <c r="J1187" s="318"/>
      <c r="K1187" s="318"/>
      <c r="L1187" s="318"/>
      <c r="M1187" s="318"/>
    </row>
    <row r="1188" spans="2:13" ht="15">
      <c r="B1188" s="517"/>
      <c r="C1188" s="318"/>
      <c r="D1188" s="318"/>
      <c r="E1188" s="318"/>
      <c r="F1188" s="318"/>
      <c r="G1188" s="318"/>
      <c r="H1188" s="318"/>
      <c r="I1188" s="318"/>
      <c r="J1188" s="318"/>
      <c r="K1188" s="318"/>
      <c r="L1188" s="318"/>
      <c r="M1188" s="318"/>
    </row>
    <row r="1189" spans="2:13" ht="15">
      <c r="B1189" s="517"/>
      <c r="C1189" s="318"/>
      <c r="D1189" s="318"/>
      <c r="E1189" s="318"/>
      <c r="F1189" s="318"/>
      <c r="G1189" s="318"/>
      <c r="H1189" s="318"/>
      <c r="I1189" s="318"/>
      <c r="J1189" s="318"/>
      <c r="K1189" s="318"/>
      <c r="L1189" s="318"/>
      <c r="M1189" s="318"/>
    </row>
    <row r="1190" spans="2:13" ht="15">
      <c r="B1190" s="517"/>
      <c r="C1190" s="318"/>
      <c r="D1190" s="318"/>
      <c r="E1190" s="318"/>
      <c r="F1190" s="318"/>
      <c r="G1190" s="318"/>
      <c r="H1190" s="318"/>
      <c r="I1190" s="318"/>
      <c r="J1190" s="318"/>
      <c r="K1190" s="318"/>
      <c r="L1190" s="318"/>
      <c r="M1190" s="318"/>
    </row>
    <row r="1191" spans="2:13" ht="15">
      <c r="B1191" s="517"/>
      <c r="C1191" s="318"/>
      <c r="D1191" s="318"/>
      <c r="E1191" s="318"/>
      <c r="F1191" s="318"/>
      <c r="G1191" s="318"/>
      <c r="H1191" s="318"/>
      <c r="I1191" s="318"/>
      <c r="J1191" s="318"/>
      <c r="K1191" s="318"/>
      <c r="L1191" s="318"/>
      <c r="M1191" s="318"/>
    </row>
    <row r="1192" spans="2:13" ht="15">
      <c r="B1192" s="517"/>
      <c r="C1192" s="318"/>
      <c r="D1192" s="318"/>
      <c r="E1192" s="318"/>
      <c r="F1192" s="318"/>
      <c r="G1192" s="318"/>
      <c r="H1192" s="318"/>
      <c r="I1192" s="318"/>
      <c r="J1192" s="318"/>
      <c r="K1192" s="318"/>
      <c r="L1192" s="318"/>
      <c r="M1192" s="318"/>
    </row>
    <row r="1193" spans="2:13" ht="15">
      <c r="B1193" s="517"/>
      <c r="C1193" s="318"/>
      <c r="D1193" s="318"/>
      <c r="E1193" s="318"/>
      <c r="F1193" s="318"/>
      <c r="G1193" s="318"/>
      <c r="H1193" s="318"/>
      <c r="I1193" s="318"/>
      <c r="J1193" s="318"/>
      <c r="K1193" s="318"/>
      <c r="L1193" s="318"/>
      <c r="M1193" s="318"/>
    </row>
    <row r="1194" spans="2:13" ht="15">
      <c r="B1194" s="517"/>
      <c r="C1194" s="318"/>
      <c r="D1194" s="318"/>
      <c r="E1194" s="318"/>
      <c r="F1194" s="318"/>
      <c r="G1194" s="318"/>
      <c r="H1194" s="318"/>
      <c r="I1194" s="318"/>
      <c r="J1194" s="318"/>
      <c r="K1194" s="318"/>
      <c r="L1194" s="318"/>
      <c r="M1194" s="318"/>
    </row>
    <row r="1195" spans="2:13" ht="15">
      <c r="B1195" s="517"/>
      <c r="C1195" s="318"/>
      <c r="D1195" s="318"/>
      <c r="E1195" s="318"/>
      <c r="F1195" s="318"/>
      <c r="G1195" s="318"/>
      <c r="H1195" s="318"/>
      <c r="I1195" s="318"/>
      <c r="J1195" s="318"/>
      <c r="K1195" s="318"/>
      <c r="L1195" s="318"/>
      <c r="M1195" s="318"/>
    </row>
    <row r="1196" spans="2:13" ht="15">
      <c r="B1196" s="517"/>
      <c r="C1196" s="318"/>
      <c r="D1196" s="318"/>
      <c r="E1196" s="318"/>
      <c r="F1196" s="318"/>
      <c r="G1196" s="318"/>
      <c r="H1196" s="318"/>
      <c r="I1196" s="318"/>
      <c r="J1196" s="318"/>
      <c r="K1196" s="318"/>
      <c r="L1196" s="318"/>
      <c r="M1196" s="318"/>
    </row>
    <row r="1197" spans="2:13" ht="15">
      <c r="B1197" s="517"/>
      <c r="C1197" s="318"/>
      <c r="D1197" s="318"/>
      <c r="E1197" s="318"/>
      <c r="F1197" s="318"/>
      <c r="G1197" s="318"/>
      <c r="H1197" s="318"/>
      <c r="I1197" s="318"/>
      <c r="J1197" s="318"/>
      <c r="K1197" s="318"/>
      <c r="L1197" s="318"/>
      <c r="M1197" s="318"/>
    </row>
    <row r="1198" spans="2:13" ht="15">
      <c r="B1198" s="517"/>
      <c r="C1198" s="318"/>
      <c r="D1198" s="318"/>
      <c r="E1198" s="318"/>
      <c r="F1198" s="318"/>
      <c r="G1198" s="318"/>
      <c r="H1198" s="318"/>
      <c r="I1198" s="318"/>
      <c r="J1198" s="318"/>
      <c r="K1198" s="318"/>
      <c r="L1198" s="318"/>
      <c r="M1198" s="318"/>
    </row>
    <row r="1199" spans="2:13" ht="15">
      <c r="B1199" s="517"/>
      <c r="C1199" s="318"/>
      <c r="D1199" s="318"/>
      <c r="E1199" s="318"/>
      <c r="F1199" s="318"/>
      <c r="G1199" s="318"/>
      <c r="H1199" s="318"/>
      <c r="I1199" s="318"/>
      <c r="J1199" s="318"/>
      <c r="K1199" s="318"/>
      <c r="L1199" s="318"/>
      <c r="M1199" s="318"/>
    </row>
    <row r="1200" spans="2:13" ht="15">
      <c r="B1200" s="517"/>
      <c r="C1200" s="318"/>
      <c r="D1200" s="318"/>
      <c r="E1200" s="318"/>
      <c r="F1200" s="318"/>
      <c r="G1200" s="318"/>
      <c r="H1200" s="318"/>
      <c r="I1200" s="318"/>
      <c r="J1200" s="318"/>
      <c r="K1200" s="318"/>
      <c r="L1200" s="318"/>
      <c r="M1200" s="318"/>
    </row>
    <row r="1201" spans="2:13" ht="15">
      <c r="B1201" s="517"/>
      <c r="C1201" s="318"/>
      <c r="D1201" s="318"/>
      <c r="E1201" s="318"/>
      <c r="F1201" s="318"/>
      <c r="G1201" s="318"/>
      <c r="H1201" s="318"/>
      <c r="I1201" s="318"/>
      <c r="J1201" s="318"/>
      <c r="K1201" s="318"/>
      <c r="L1201" s="318"/>
      <c r="M1201" s="318"/>
    </row>
    <row r="1202" spans="2:13" ht="15">
      <c r="B1202" s="517"/>
      <c r="C1202" s="318"/>
      <c r="D1202" s="318"/>
      <c r="E1202" s="318"/>
      <c r="F1202" s="318"/>
      <c r="G1202" s="318"/>
      <c r="H1202" s="318"/>
      <c r="I1202" s="318"/>
      <c r="J1202" s="318"/>
      <c r="K1202" s="318"/>
      <c r="L1202" s="318"/>
      <c r="M1202" s="318"/>
    </row>
    <row r="1203" spans="2:13" ht="15">
      <c r="B1203" s="517"/>
      <c r="C1203" s="318"/>
      <c r="D1203" s="318"/>
      <c r="E1203" s="318"/>
      <c r="F1203" s="318"/>
      <c r="G1203" s="318"/>
      <c r="H1203" s="318"/>
      <c r="I1203" s="318"/>
      <c r="J1203" s="318"/>
      <c r="K1203" s="318"/>
      <c r="L1203" s="318"/>
      <c r="M1203" s="318"/>
    </row>
    <row r="1204" spans="2:13" ht="15">
      <c r="B1204" s="517"/>
      <c r="C1204" s="318"/>
      <c r="D1204" s="318"/>
      <c r="E1204" s="318"/>
      <c r="F1204" s="318"/>
      <c r="G1204" s="318"/>
      <c r="H1204" s="318"/>
      <c r="I1204" s="318"/>
      <c r="J1204" s="318"/>
      <c r="K1204" s="318"/>
      <c r="L1204" s="318"/>
      <c r="M1204" s="318"/>
    </row>
    <row r="1205" spans="2:13" ht="15">
      <c r="B1205" s="517"/>
      <c r="C1205" s="318"/>
      <c r="D1205" s="318"/>
      <c r="E1205" s="318"/>
      <c r="F1205" s="318"/>
      <c r="G1205" s="318"/>
      <c r="H1205" s="318"/>
      <c r="I1205" s="318"/>
      <c r="J1205" s="318"/>
      <c r="K1205" s="318"/>
      <c r="L1205" s="318"/>
      <c r="M1205" s="318"/>
    </row>
    <row r="1206" spans="2:13" ht="15">
      <c r="B1206" s="517"/>
      <c r="C1206" s="318"/>
      <c r="D1206" s="318"/>
      <c r="E1206" s="318"/>
      <c r="F1206" s="318"/>
      <c r="G1206" s="318"/>
      <c r="H1206" s="318"/>
      <c r="I1206" s="318"/>
      <c r="J1206" s="318"/>
      <c r="K1206" s="318"/>
      <c r="L1206" s="318"/>
      <c r="M1206" s="318"/>
    </row>
    <row r="1207" spans="2:13" ht="15">
      <c r="B1207" s="517"/>
      <c r="C1207" s="318"/>
      <c r="D1207" s="318"/>
      <c r="E1207" s="318"/>
      <c r="F1207" s="318"/>
      <c r="G1207" s="318"/>
      <c r="H1207" s="318"/>
      <c r="I1207" s="318"/>
      <c r="J1207" s="318"/>
      <c r="K1207" s="318"/>
      <c r="L1207" s="318"/>
      <c r="M1207" s="318"/>
    </row>
    <row r="1208" spans="2:13" ht="15">
      <c r="B1208" s="517"/>
      <c r="C1208" s="318"/>
      <c r="D1208" s="318"/>
      <c r="E1208" s="318"/>
      <c r="F1208" s="318"/>
      <c r="G1208" s="318"/>
      <c r="H1208" s="318"/>
      <c r="I1208" s="318"/>
      <c r="J1208" s="318"/>
      <c r="K1208" s="318"/>
      <c r="L1208" s="318"/>
      <c r="M1208" s="318"/>
    </row>
    <row r="1209" spans="2:13" ht="15">
      <c r="B1209" s="517"/>
      <c r="C1209" s="318"/>
      <c r="D1209" s="318"/>
      <c r="E1209" s="318"/>
      <c r="F1209" s="318"/>
      <c r="G1209" s="318"/>
      <c r="H1209" s="318"/>
      <c r="I1209" s="318"/>
      <c r="J1209" s="318"/>
      <c r="K1209" s="318"/>
      <c r="L1209" s="318"/>
      <c r="M1209" s="318"/>
    </row>
    <row r="1210" spans="2:13" ht="15">
      <c r="B1210" s="517"/>
      <c r="C1210" s="318"/>
      <c r="D1210" s="318"/>
      <c r="E1210" s="318"/>
      <c r="F1210" s="318"/>
      <c r="G1210" s="318"/>
      <c r="H1210" s="318"/>
      <c r="I1210" s="318"/>
      <c r="J1210" s="318"/>
      <c r="K1210" s="318"/>
      <c r="L1210" s="318"/>
      <c r="M1210" s="318"/>
    </row>
    <row r="1211" spans="2:13" ht="15">
      <c r="B1211" s="517"/>
      <c r="C1211" s="318"/>
      <c r="D1211" s="318"/>
      <c r="E1211" s="318"/>
      <c r="F1211" s="318"/>
      <c r="G1211" s="318"/>
      <c r="H1211" s="318"/>
      <c r="I1211" s="318"/>
      <c r="J1211" s="318"/>
      <c r="K1211" s="318"/>
      <c r="L1211" s="318"/>
      <c r="M1211" s="318"/>
    </row>
    <row r="1212" spans="2:13" ht="15">
      <c r="B1212" s="517"/>
      <c r="C1212" s="318"/>
      <c r="D1212" s="318"/>
      <c r="E1212" s="318"/>
      <c r="F1212" s="318"/>
      <c r="G1212" s="318"/>
      <c r="H1212" s="318"/>
      <c r="I1212" s="318"/>
      <c r="J1212" s="318"/>
      <c r="K1212" s="318"/>
      <c r="L1212" s="318"/>
      <c r="M1212" s="318"/>
    </row>
    <row r="1213" spans="2:13" ht="15">
      <c r="B1213" s="517"/>
      <c r="C1213" s="318"/>
      <c r="D1213" s="318"/>
      <c r="E1213" s="318"/>
      <c r="F1213" s="318"/>
      <c r="G1213" s="318"/>
      <c r="H1213" s="318"/>
      <c r="I1213" s="318"/>
      <c r="J1213" s="318"/>
      <c r="K1213" s="318"/>
      <c r="L1213" s="318"/>
      <c r="M1213" s="318"/>
    </row>
    <row r="1214" spans="2:13" ht="15">
      <c r="B1214" s="517"/>
      <c r="C1214" s="318"/>
      <c r="D1214" s="318"/>
      <c r="E1214" s="318"/>
      <c r="F1214" s="318"/>
      <c r="G1214" s="318"/>
      <c r="H1214" s="318"/>
      <c r="I1214" s="318"/>
      <c r="J1214" s="318"/>
      <c r="K1214" s="318"/>
      <c r="L1214" s="318"/>
      <c r="M1214" s="318"/>
    </row>
    <row r="1215" spans="2:13" ht="15">
      <c r="B1215" s="517"/>
      <c r="C1215" s="318"/>
      <c r="D1215" s="318"/>
      <c r="E1215" s="318"/>
      <c r="F1215" s="318"/>
      <c r="G1215" s="318"/>
      <c r="H1215" s="318"/>
      <c r="I1215" s="318"/>
      <c r="J1215" s="318"/>
      <c r="K1215" s="318"/>
      <c r="L1215" s="318"/>
      <c r="M1215" s="318"/>
    </row>
    <row r="1216" spans="2:13" ht="15">
      <c r="B1216" s="517"/>
      <c r="C1216" s="318"/>
      <c r="D1216" s="318"/>
      <c r="E1216" s="318"/>
      <c r="F1216" s="318"/>
      <c r="G1216" s="318"/>
      <c r="H1216" s="318"/>
      <c r="I1216" s="318"/>
      <c r="J1216" s="318"/>
      <c r="K1216" s="318"/>
      <c r="L1216" s="318"/>
      <c r="M1216" s="318"/>
    </row>
    <row r="1217" spans="2:13" ht="15">
      <c r="B1217" s="517"/>
      <c r="C1217" s="318"/>
      <c r="D1217" s="318"/>
      <c r="E1217" s="318"/>
      <c r="F1217" s="318"/>
      <c r="G1217" s="318"/>
      <c r="H1217" s="318"/>
      <c r="I1217" s="318"/>
      <c r="J1217" s="318"/>
      <c r="K1217" s="318"/>
      <c r="L1217" s="318"/>
      <c r="M1217" s="318"/>
    </row>
    <row r="1218" spans="2:13" ht="15">
      <c r="B1218" s="517"/>
      <c r="C1218" s="318"/>
      <c r="D1218" s="318"/>
      <c r="E1218" s="318"/>
      <c r="F1218" s="318"/>
      <c r="G1218" s="318"/>
      <c r="H1218" s="318"/>
      <c r="I1218" s="318"/>
      <c r="J1218" s="318"/>
      <c r="K1218" s="318"/>
      <c r="L1218" s="318"/>
      <c r="M1218" s="318"/>
    </row>
    <row r="1219" spans="2:13" ht="15">
      <c r="B1219" s="517"/>
      <c r="C1219" s="318"/>
      <c r="D1219" s="318"/>
      <c r="E1219" s="318"/>
      <c r="F1219" s="318"/>
      <c r="G1219" s="318"/>
      <c r="H1219" s="318"/>
      <c r="I1219" s="318"/>
      <c r="J1219" s="318"/>
      <c r="K1219" s="318"/>
      <c r="L1219" s="318"/>
      <c r="M1219" s="318"/>
    </row>
    <row r="1220" spans="2:13" ht="15">
      <c r="B1220" s="517"/>
      <c r="C1220" s="318"/>
      <c r="D1220" s="318"/>
      <c r="E1220" s="318"/>
      <c r="F1220" s="318"/>
      <c r="G1220" s="318"/>
      <c r="H1220" s="318"/>
      <c r="I1220" s="318"/>
      <c r="J1220" s="318"/>
      <c r="K1220" s="318"/>
      <c r="L1220" s="318"/>
      <c r="M1220" s="318"/>
    </row>
    <row r="1221" spans="2:13" ht="15">
      <c r="B1221" s="517"/>
      <c r="C1221" s="318"/>
      <c r="D1221" s="318"/>
      <c r="E1221" s="318"/>
      <c r="F1221" s="318"/>
      <c r="G1221" s="318"/>
      <c r="H1221" s="318"/>
      <c r="I1221" s="318"/>
      <c r="J1221" s="318"/>
      <c r="K1221" s="318"/>
      <c r="L1221" s="318"/>
      <c r="M1221" s="318"/>
    </row>
    <row r="1222" spans="2:13" ht="15">
      <c r="B1222" s="517"/>
      <c r="C1222" s="318"/>
      <c r="D1222" s="318"/>
      <c r="E1222" s="318"/>
      <c r="F1222" s="318"/>
      <c r="G1222" s="318"/>
      <c r="H1222" s="318"/>
      <c r="I1222" s="318"/>
      <c r="J1222" s="318"/>
      <c r="K1222" s="318"/>
      <c r="L1222" s="318"/>
      <c r="M1222" s="318"/>
    </row>
    <row r="1223" spans="2:13" ht="15">
      <c r="B1223" s="517"/>
      <c r="C1223" s="318"/>
      <c r="D1223" s="318"/>
      <c r="E1223" s="318"/>
      <c r="F1223" s="318"/>
      <c r="G1223" s="318"/>
      <c r="H1223" s="318"/>
      <c r="I1223" s="318"/>
      <c r="J1223" s="318"/>
      <c r="K1223" s="318"/>
      <c r="L1223" s="318"/>
      <c r="M1223" s="318"/>
    </row>
    <row r="1224" spans="2:13" ht="15">
      <c r="B1224" s="517"/>
      <c r="C1224" s="318"/>
      <c r="D1224" s="318"/>
      <c r="E1224" s="318"/>
      <c r="F1224" s="318"/>
      <c r="G1224" s="318"/>
      <c r="H1224" s="318"/>
      <c r="I1224" s="318"/>
      <c r="J1224" s="318"/>
      <c r="K1224" s="318"/>
      <c r="L1224" s="318"/>
      <c r="M1224" s="318"/>
    </row>
    <row r="1225" spans="2:13" ht="15">
      <c r="B1225" s="517"/>
      <c r="C1225" s="318"/>
      <c r="D1225" s="318"/>
      <c r="E1225" s="318"/>
      <c r="F1225" s="318"/>
      <c r="G1225" s="318"/>
      <c r="H1225" s="318"/>
      <c r="I1225" s="318"/>
      <c r="J1225" s="318"/>
      <c r="K1225" s="318"/>
      <c r="L1225" s="318"/>
      <c r="M1225" s="318"/>
    </row>
    <row r="1226" spans="2:13" ht="15">
      <c r="B1226" s="517"/>
      <c r="C1226" s="318"/>
      <c r="D1226" s="318"/>
      <c r="E1226" s="318"/>
      <c r="F1226" s="318"/>
      <c r="G1226" s="318"/>
      <c r="H1226" s="318"/>
      <c r="I1226" s="318"/>
      <c r="J1226" s="318"/>
      <c r="K1226" s="318"/>
      <c r="L1226" s="318"/>
      <c r="M1226" s="318"/>
    </row>
    <row r="1227" spans="2:13" ht="15">
      <c r="B1227" s="517"/>
      <c r="C1227" s="318"/>
      <c r="D1227" s="318"/>
      <c r="E1227" s="318"/>
      <c r="F1227" s="318"/>
      <c r="G1227" s="318"/>
      <c r="H1227" s="318"/>
      <c r="I1227" s="318"/>
      <c r="J1227" s="318"/>
      <c r="K1227" s="318"/>
      <c r="L1227" s="318"/>
      <c r="M1227" s="318"/>
    </row>
    <row r="1228" spans="2:13" ht="15">
      <c r="B1228" s="517"/>
      <c r="C1228" s="318"/>
      <c r="D1228" s="318"/>
      <c r="E1228" s="318"/>
      <c r="F1228" s="318"/>
      <c r="G1228" s="318"/>
      <c r="H1228" s="318"/>
      <c r="I1228" s="318"/>
      <c r="J1228" s="318"/>
      <c r="K1228" s="318"/>
      <c r="L1228" s="318"/>
      <c r="M1228" s="318"/>
    </row>
    <row r="1229" spans="2:13" ht="15">
      <c r="B1229" s="517"/>
      <c r="C1229" s="318"/>
      <c r="D1229" s="318"/>
      <c r="E1229" s="318"/>
      <c r="F1229" s="318"/>
      <c r="G1229" s="318"/>
      <c r="H1229" s="318"/>
      <c r="I1229" s="318"/>
      <c r="J1229" s="318"/>
      <c r="K1229" s="318"/>
      <c r="L1229" s="318"/>
      <c r="M1229" s="318"/>
    </row>
    <row r="1230" spans="2:13" ht="15">
      <c r="B1230" s="517"/>
      <c r="C1230" s="318"/>
      <c r="D1230" s="318"/>
      <c r="E1230" s="318"/>
      <c r="F1230" s="318"/>
      <c r="G1230" s="318"/>
      <c r="H1230" s="318"/>
      <c r="I1230" s="318"/>
      <c r="J1230" s="318"/>
      <c r="K1230" s="318"/>
      <c r="L1230" s="318"/>
      <c r="M1230" s="318"/>
    </row>
    <row r="1231" spans="2:13" ht="15">
      <c r="B1231" s="517"/>
      <c r="C1231" s="318"/>
      <c r="D1231" s="318"/>
      <c r="E1231" s="318"/>
      <c r="F1231" s="318"/>
      <c r="G1231" s="318"/>
      <c r="H1231" s="318"/>
      <c r="I1231" s="318"/>
      <c r="J1231" s="318"/>
      <c r="K1231" s="318"/>
      <c r="L1231" s="318"/>
      <c r="M1231" s="318"/>
    </row>
    <row r="1232" spans="2:13" ht="15">
      <c r="B1232" s="517"/>
      <c r="C1232" s="318"/>
      <c r="D1232" s="318"/>
      <c r="E1232" s="318"/>
      <c r="F1232" s="318"/>
      <c r="G1232" s="318"/>
      <c r="H1232" s="318"/>
      <c r="I1232" s="318"/>
      <c r="J1232" s="318"/>
      <c r="K1232" s="318"/>
      <c r="L1232" s="318"/>
      <c r="M1232" s="318"/>
    </row>
    <row r="1233" spans="2:13" ht="15">
      <c r="B1233" s="517"/>
      <c r="C1233" s="318"/>
      <c r="D1233" s="318"/>
      <c r="E1233" s="318"/>
      <c r="F1233" s="318"/>
      <c r="G1233" s="318"/>
      <c r="H1233" s="318"/>
      <c r="I1233" s="318"/>
      <c r="J1233" s="318"/>
      <c r="K1233" s="318"/>
      <c r="L1233" s="318"/>
      <c r="M1233" s="318"/>
    </row>
    <row r="1234" spans="2:13" ht="15">
      <c r="B1234" s="517"/>
      <c r="C1234" s="318"/>
      <c r="D1234" s="318"/>
      <c r="E1234" s="318"/>
      <c r="F1234" s="318"/>
      <c r="G1234" s="318"/>
      <c r="H1234" s="318"/>
      <c r="I1234" s="318"/>
      <c r="J1234" s="318"/>
      <c r="K1234" s="318"/>
      <c r="L1234" s="318"/>
      <c r="M1234" s="318"/>
    </row>
    <row r="1235" spans="2:13" ht="15">
      <c r="B1235" s="517"/>
      <c r="C1235" s="318"/>
      <c r="D1235" s="318"/>
      <c r="E1235" s="318"/>
      <c r="F1235" s="318"/>
      <c r="G1235" s="318"/>
      <c r="H1235" s="318"/>
      <c r="I1235" s="318"/>
      <c r="J1235" s="318"/>
      <c r="K1235" s="318"/>
      <c r="L1235" s="318"/>
      <c r="M1235" s="318"/>
    </row>
    <row r="1236" spans="2:13" ht="15">
      <c r="B1236" s="517"/>
      <c r="C1236" s="318"/>
      <c r="D1236" s="318"/>
      <c r="E1236" s="318"/>
      <c r="F1236" s="318"/>
      <c r="G1236" s="318"/>
      <c r="H1236" s="318"/>
      <c r="I1236" s="318"/>
      <c r="J1236" s="318"/>
      <c r="K1236" s="318"/>
      <c r="L1236" s="318"/>
      <c r="M1236" s="318"/>
    </row>
    <row r="1237" spans="2:13" ht="15">
      <c r="B1237" s="517"/>
      <c r="C1237" s="318"/>
      <c r="D1237" s="318"/>
      <c r="E1237" s="318"/>
      <c r="F1237" s="318"/>
      <c r="G1237" s="318"/>
      <c r="H1237" s="318"/>
      <c r="I1237" s="318"/>
      <c r="J1237" s="318"/>
      <c r="K1237" s="318"/>
      <c r="L1237" s="318"/>
      <c r="M1237" s="318"/>
    </row>
    <row r="1238" spans="2:13" ht="15">
      <c r="B1238" s="517"/>
      <c r="C1238" s="318"/>
      <c r="D1238" s="318"/>
      <c r="E1238" s="318"/>
      <c r="F1238" s="318"/>
      <c r="G1238" s="318"/>
      <c r="H1238" s="318"/>
      <c r="I1238" s="318"/>
      <c r="J1238" s="318"/>
      <c r="K1238" s="318"/>
      <c r="L1238" s="318"/>
      <c r="M1238" s="318"/>
    </row>
    <row r="1239" spans="2:13" ht="15">
      <c r="B1239" s="517"/>
      <c r="C1239" s="318"/>
      <c r="D1239" s="318"/>
      <c r="E1239" s="318"/>
      <c r="F1239" s="318"/>
      <c r="G1239" s="318"/>
      <c r="H1239" s="318"/>
      <c r="I1239" s="318"/>
      <c r="J1239" s="318"/>
      <c r="K1239" s="318"/>
      <c r="L1239" s="318"/>
      <c r="M1239" s="318"/>
    </row>
    <row r="1240" spans="2:13" ht="15">
      <c r="B1240" s="517"/>
      <c r="C1240" s="318"/>
      <c r="D1240" s="318"/>
      <c r="E1240" s="318"/>
      <c r="F1240" s="318"/>
      <c r="G1240" s="318"/>
      <c r="H1240" s="318"/>
      <c r="I1240" s="318"/>
      <c r="J1240" s="318"/>
      <c r="K1240" s="318"/>
      <c r="L1240" s="318"/>
      <c r="M1240" s="318"/>
    </row>
    <row r="1241" spans="2:13" ht="15">
      <c r="B1241" s="517"/>
      <c r="C1241" s="318"/>
      <c r="D1241" s="318"/>
      <c r="E1241" s="318"/>
      <c r="F1241" s="318"/>
      <c r="G1241" s="318"/>
      <c r="H1241" s="318"/>
      <c r="I1241" s="318"/>
      <c r="J1241" s="318"/>
      <c r="K1241" s="318"/>
      <c r="L1241" s="318"/>
      <c r="M1241" s="318"/>
    </row>
    <row r="1242" spans="2:13" ht="15">
      <c r="B1242" s="517"/>
      <c r="C1242" s="318"/>
      <c r="D1242" s="318"/>
      <c r="E1242" s="318"/>
      <c r="F1242" s="318"/>
      <c r="G1242" s="318"/>
      <c r="H1242" s="318"/>
      <c r="I1242" s="318"/>
      <c r="J1242" s="318"/>
      <c r="K1242" s="318"/>
      <c r="L1242" s="318"/>
      <c r="M1242" s="318"/>
    </row>
    <row r="1243" spans="2:13" ht="15">
      <c r="B1243" s="517"/>
      <c r="C1243" s="318"/>
      <c r="D1243" s="318"/>
      <c r="E1243" s="318"/>
      <c r="F1243" s="318"/>
      <c r="G1243" s="318"/>
      <c r="H1243" s="318"/>
      <c r="I1243" s="318"/>
      <c r="J1243" s="318"/>
      <c r="K1243" s="318"/>
      <c r="L1243" s="318"/>
      <c r="M1243" s="318"/>
    </row>
    <row r="1244" spans="2:13" ht="15">
      <c r="B1244" s="517"/>
      <c r="C1244" s="318"/>
      <c r="D1244" s="318"/>
      <c r="E1244" s="318"/>
      <c r="F1244" s="318"/>
      <c r="G1244" s="318"/>
      <c r="H1244" s="318"/>
      <c r="I1244" s="318"/>
      <c r="J1244" s="318"/>
      <c r="K1244" s="318"/>
      <c r="L1244" s="318"/>
      <c r="M1244" s="318"/>
    </row>
    <row r="1245" spans="2:13" ht="15">
      <c r="B1245" s="517"/>
      <c r="C1245" s="318"/>
      <c r="D1245" s="318"/>
      <c r="E1245" s="318"/>
      <c r="F1245" s="318"/>
      <c r="G1245" s="318"/>
      <c r="H1245" s="318"/>
      <c r="I1245" s="318"/>
      <c r="J1245" s="318"/>
      <c r="K1245" s="318"/>
      <c r="L1245" s="318"/>
      <c r="M1245" s="318"/>
    </row>
    <row r="1246" spans="2:13" ht="15">
      <c r="B1246" s="517"/>
      <c r="C1246" s="318"/>
      <c r="D1246" s="318"/>
      <c r="E1246" s="318"/>
      <c r="F1246" s="318"/>
      <c r="G1246" s="318"/>
      <c r="H1246" s="318"/>
      <c r="I1246" s="318"/>
      <c r="J1246" s="318"/>
      <c r="K1246" s="318"/>
      <c r="L1246" s="318"/>
      <c r="M1246" s="318"/>
    </row>
    <row r="1247" spans="9:10" ht="15">
      <c r="I1247" s="318"/>
      <c r="J1247" s="318"/>
    </row>
  </sheetData>
  <sheetProtection/>
  <mergeCells count="26">
    <mergeCell ref="D364:L366"/>
    <mergeCell ref="D276:L276"/>
    <mergeCell ref="D288:L288"/>
    <mergeCell ref="D284:L285"/>
    <mergeCell ref="D319:L322"/>
    <mergeCell ref="D348:L353"/>
    <mergeCell ref="D356:L358"/>
    <mergeCell ref="D303:K305"/>
    <mergeCell ref="G251:H251"/>
    <mergeCell ref="E175:E176"/>
    <mergeCell ref="B22:I23"/>
    <mergeCell ref="I58:J58"/>
    <mergeCell ref="I61:J61"/>
    <mergeCell ref="I132:J132"/>
    <mergeCell ref="I135:J135"/>
    <mergeCell ref="D40:L40"/>
    <mergeCell ref="D369:J370"/>
    <mergeCell ref="D279:K280"/>
    <mergeCell ref="D316:K317"/>
    <mergeCell ref="D306:J307"/>
    <mergeCell ref="D324:L326"/>
    <mergeCell ref="D312:J314"/>
    <mergeCell ref="D299:K301"/>
    <mergeCell ref="D359:L360"/>
    <mergeCell ref="D361:L362"/>
    <mergeCell ref="D363:L363"/>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49" max="14" man="1"/>
    <brk id="124" max="14" man="1"/>
    <brk id="212" max="14" man="1"/>
    <brk id="256" max="14"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40"/>
  <sheetViews>
    <sheetView view="pageBreakPreview" zoomScaleSheetLayoutView="100" zoomScalePageLayoutView="0" workbookViewId="0" topLeftCell="A1">
      <selection activeCell="B43" sqref="B43"/>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480" t="s">
        <v>389</v>
      </c>
      <c r="B1" s="1480"/>
      <c r="C1" s="1480"/>
      <c r="D1" s="1480"/>
      <c r="E1" s="1480"/>
      <c r="F1" s="1480"/>
      <c r="G1" s="1480"/>
      <c r="H1" s="1480"/>
    </row>
    <row r="2" spans="1:8" ht="15">
      <c r="A2" s="1481" t="str">
        <f>"Cost of Service Formula Rate Using Actual/Projected FF1 Balances"</f>
        <v>Cost of Service Formula Rate Using Actual/Projected FF1 Balances</v>
      </c>
      <c r="B2" s="1481"/>
      <c r="C2" s="1481"/>
      <c r="D2" s="1481"/>
      <c r="E2" s="1481"/>
      <c r="F2" s="1481"/>
      <c r="G2" s="1481"/>
      <c r="H2" s="1481"/>
    </row>
    <row r="3" spans="1:8" ht="15">
      <c r="A3" s="1481" t="s">
        <v>530</v>
      </c>
      <c r="B3" s="1481"/>
      <c r="C3" s="1481"/>
      <c r="D3" s="1481"/>
      <c r="E3" s="1481"/>
      <c r="F3" s="1481"/>
      <c r="G3" s="1481"/>
      <c r="H3" s="1481"/>
    </row>
    <row r="4" spans="1:7" ht="15">
      <c r="A4" s="1492" t="str">
        <f>'I&amp;M TCOS'!F7</f>
        <v>INDIANA MICHIGAN POWER COMPANY</v>
      </c>
      <c r="B4" s="1492"/>
      <c r="C4" s="1492"/>
      <c r="D4" s="1492"/>
      <c r="E4" s="1492"/>
      <c r="F4" s="1492"/>
      <c r="G4" s="1492"/>
    </row>
    <row r="5" spans="1:15" ht="12.75" customHeight="1">
      <c r="A5" s="19"/>
      <c r="B5" s="24"/>
      <c r="C5" s="24"/>
      <c r="D5" s="24"/>
      <c r="E5" s="24"/>
      <c r="F5" s="24"/>
      <c r="G5" s="24"/>
      <c r="H5" s="24"/>
      <c r="I5" s="24"/>
      <c r="J5" s="24"/>
      <c r="O5" s="15"/>
    </row>
    <row r="6" spans="1:6" ht="12.75" customHeight="1">
      <c r="A6" s="19"/>
      <c r="B6" s="40"/>
      <c r="C6" s="2"/>
      <c r="D6" s="2"/>
      <c r="E6" s="2"/>
      <c r="F6" s="2"/>
    </row>
    <row r="7" spans="1:12" ht="18">
      <c r="A7" s="25"/>
      <c r="B7" s="17" t="s">
        <v>921</v>
      </c>
      <c r="C7" s="38"/>
      <c r="D7" s="41"/>
      <c r="E7" s="1375">
        <v>0.06125</v>
      </c>
      <c r="F7" s="2"/>
      <c r="G7" s="23"/>
      <c r="H7" s="23"/>
      <c r="L7" s="22"/>
    </row>
    <row r="8" spans="1:12" ht="15">
      <c r="A8" s="22"/>
      <c r="B8" s="17" t="s">
        <v>754</v>
      </c>
      <c r="C8" s="38"/>
      <c r="D8" s="38"/>
      <c r="E8" s="1376">
        <v>0.7447</v>
      </c>
      <c r="F8" s="2"/>
      <c r="G8" s="23"/>
      <c r="H8" s="23"/>
      <c r="L8" s="22"/>
    </row>
    <row r="9" spans="1:12" ht="15">
      <c r="A9" s="22"/>
      <c r="B9" s="17" t="s">
        <v>450</v>
      </c>
      <c r="C9" s="38"/>
      <c r="D9" s="38"/>
      <c r="E9" s="299"/>
      <c r="F9" s="42">
        <f>ROUND(E7*E8,4)</f>
        <v>0.0456</v>
      </c>
      <c r="G9" s="23"/>
      <c r="L9" s="22"/>
    </row>
    <row r="10" spans="1:12" ht="15">
      <c r="A10" s="22"/>
      <c r="B10" s="17"/>
      <c r="C10" s="38"/>
      <c r="D10" s="38"/>
      <c r="E10" s="299"/>
      <c r="F10" s="42"/>
      <c r="G10" s="23"/>
      <c r="L10" s="22"/>
    </row>
    <row r="11" spans="1:12" ht="15">
      <c r="A11" s="22"/>
      <c r="B11" s="17" t="s">
        <v>922</v>
      </c>
      <c r="C11" s="38"/>
      <c r="D11" s="41"/>
      <c r="E11" s="1377">
        <v>0.06</v>
      </c>
      <c r="F11" s="2"/>
      <c r="G11" s="23"/>
      <c r="L11" s="22"/>
    </row>
    <row r="12" spans="1:12" ht="15">
      <c r="A12" s="22"/>
      <c r="B12" s="17" t="s">
        <v>754</v>
      </c>
      <c r="C12" s="38"/>
      <c r="D12" s="38"/>
      <c r="E12" s="1378">
        <v>0.154633</v>
      </c>
      <c r="F12" s="2"/>
      <c r="G12" s="23"/>
      <c r="L12" s="22"/>
    </row>
    <row r="13" spans="1:12" ht="15">
      <c r="A13" s="22"/>
      <c r="B13" s="17" t="s">
        <v>450</v>
      </c>
      <c r="C13" s="38"/>
      <c r="D13" s="38"/>
      <c r="E13" s="299"/>
      <c r="F13" s="42">
        <f>ROUND(E11*E12,4)</f>
        <v>0.0093</v>
      </c>
      <c r="G13" s="23"/>
      <c r="L13" s="22"/>
    </row>
    <row r="14" spans="1:12" ht="15">
      <c r="A14" s="22"/>
      <c r="B14" s="17"/>
      <c r="C14" s="38"/>
      <c r="D14" s="38"/>
      <c r="E14" s="299"/>
      <c r="F14" s="42"/>
      <c r="G14" s="23"/>
      <c r="L14" s="22"/>
    </row>
    <row r="15" spans="1:12" ht="15">
      <c r="A15" s="22"/>
      <c r="B15" s="17" t="s">
        <v>923</v>
      </c>
      <c r="C15" s="38"/>
      <c r="D15" s="41"/>
      <c r="E15" s="1379">
        <v>0.065</v>
      </c>
      <c r="F15" s="2"/>
      <c r="G15" s="23"/>
      <c r="L15" s="22"/>
    </row>
    <row r="16" spans="1:12" ht="15">
      <c r="A16" s="22"/>
      <c r="B16" s="17" t="s">
        <v>754</v>
      </c>
      <c r="C16" s="38"/>
      <c r="D16" s="38"/>
      <c r="E16" s="1380">
        <v>0.022067</v>
      </c>
      <c r="F16" s="2"/>
      <c r="G16" s="23"/>
      <c r="L16" s="22"/>
    </row>
    <row r="17" spans="1:12" ht="15">
      <c r="A17" s="22"/>
      <c r="B17" s="17" t="s">
        <v>450</v>
      </c>
      <c r="C17" s="38"/>
      <c r="D17" s="38"/>
      <c r="E17" s="299"/>
      <c r="F17" s="42">
        <f>ROUND(E15*E16,4)</f>
        <v>0.0014</v>
      </c>
      <c r="G17" s="23"/>
      <c r="L17" s="22"/>
    </row>
    <row r="18" spans="1:12" ht="15">
      <c r="A18" s="22"/>
      <c r="B18" s="17"/>
      <c r="C18" s="38"/>
      <c r="D18" s="38"/>
      <c r="E18" s="299"/>
      <c r="F18" s="42"/>
      <c r="G18" s="23"/>
      <c r="L18" s="22"/>
    </row>
    <row r="19" spans="1:12" ht="15">
      <c r="A19" s="22"/>
      <c r="B19" s="17" t="s">
        <v>924</v>
      </c>
      <c r="C19" s="38"/>
      <c r="D19" s="41"/>
      <c r="E19" s="1381">
        <v>0.06</v>
      </c>
      <c r="F19" s="43"/>
      <c r="G19" s="23"/>
      <c r="L19" s="22"/>
    </row>
    <row r="20" spans="1:12" ht="15">
      <c r="A20" s="22"/>
      <c r="B20" s="17" t="s">
        <v>754</v>
      </c>
      <c r="C20" s="38"/>
      <c r="D20" s="38"/>
      <c r="E20" s="1382">
        <v>0.00956</v>
      </c>
      <c r="F20" s="43"/>
      <c r="G20" s="23"/>
      <c r="L20" s="22"/>
    </row>
    <row r="21" spans="1:12" ht="15">
      <c r="A21" s="22"/>
      <c r="B21" s="17" t="s">
        <v>450</v>
      </c>
      <c r="C21" s="38"/>
      <c r="D21" s="38"/>
      <c r="E21" s="1227"/>
      <c r="F21" s="42">
        <f>ROUND(E19*E20,4)</f>
        <v>0.0006</v>
      </c>
      <c r="G21" s="23"/>
      <c r="L21" s="22"/>
    </row>
    <row r="22" spans="1:12" ht="15">
      <c r="A22" s="22"/>
      <c r="B22" s="17"/>
      <c r="C22" s="38"/>
      <c r="D22" s="38"/>
      <c r="E22" s="299"/>
      <c r="F22" s="42"/>
      <c r="G22" s="23"/>
      <c r="L22" s="22"/>
    </row>
    <row r="23" spans="1:12" ht="15">
      <c r="A23" s="22"/>
      <c r="B23" s="17" t="s">
        <v>925</v>
      </c>
      <c r="C23" s="38"/>
      <c r="D23" s="41"/>
      <c r="E23" s="1383">
        <v>0.0625</v>
      </c>
      <c r="F23" s="2"/>
      <c r="G23" s="23"/>
      <c r="L23" s="22"/>
    </row>
    <row r="24" spans="1:12" ht="15">
      <c r="A24" s="22"/>
      <c r="B24" s="17" t="s">
        <v>754</v>
      </c>
      <c r="C24" s="38"/>
      <c r="D24" s="38"/>
      <c r="E24" s="1384">
        <v>0</v>
      </c>
      <c r="F24" s="2"/>
      <c r="G24" s="23"/>
      <c r="L24" s="22"/>
    </row>
    <row r="25" spans="1:12" ht="15">
      <c r="A25" s="22"/>
      <c r="B25" s="17" t="s">
        <v>450</v>
      </c>
      <c r="C25" s="38"/>
      <c r="D25" s="38"/>
      <c r="E25" s="299"/>
      <c r="F25" s="42">
        <f>ROUND(E23*E24,4)</f>
        <v>0</v>
      </c>
      <c r="G25" s="23"/>
      <c r="L25" s="22"/>
    </row>
    <row r="26" spans="1:12" ht="15">
      <c r="A26" s="22"/>
      <c r="B26" s="17"/>
      <c r="C26" s="38"/>
      <c r="D26" s="38"/>
      <c r="E26" s="299"/>
      <c r="F26" s="42"/>
      <c r="G26" s="23"/>
      <c r="L26" s="22"/>
    </row>
    <row r="27" spans="1:12" ht="15">
      <c r="A27" s="22"/>
      <c r="B27" s="17" t="s">
        <v>926</v>
      </c>
      <c r="C27" s="38"/>
      <c r="D27" s="41"/>
      <c r="E27" s="1385">
        <v>0.095</v>
      </c>
      <c r="F27" s="2"/>
      <c r="G27" s="23"/>
      <c r="L27" s="22"/>
    </row>
    <row r="28" spans="1:12" ht="15">
      <c r="A28" s="22"/>
      <c r="B28" s="17" t="s">
        <v>754</v>
      </c>
      <c r="C28" s="38"/>
      <c r="D28" s="38"/>
      <c r="E28" s="1386">
        <v>0.011849</v>
      </c>
      <c r="F28" s="2"/>
      <c r="G28" s="23"/>
      <c r="L28" s="22"/>
    </row>
    <row r="29" spans="1:12" ht="15">
      <c r="A29" s="22"/>
      <c r="B29" s="17" t="s">
        <v>450</v>
      </c>
      <c r="C29" s="38"/>
      <c r="D29" s="38"/>
      <c r="E29" s="20"/>
      <c r="F29" s="42">
        <f>ROUND(E27*E28,4)</f>
        <v>0.0011</v>
      </c>
      <c r="G29" s="23"/>
      <c r="L29" s="22"/>
    </row>
    <row r="30" ht="12.75">
      <c r="B30" s="6"/>
    </row>
    <row r="31" spans="1:12" ht="15">
      <c r="A31" s="22"/>
      <c r="B31" s="17"/>
      <c r="C31" s="38"/>
      <c r="D31" s="38"/>
      <c r="E31" s="38"/>
      <c r="F31" s="43"/>
      <c r="G31" s="23"/>
      <c r="L31" s="22"/>
    </row>
    <row r="32" spans="1:12" ht="15.75" thickBot="1">
      <c r="A32" s="22"/>
      <c r="B32" s="20" t="s">
        <v>205</v>
      </c>
      <c r="C32" s="20"/>
      <c r="D32" s="20"/>
      <c r="E32" s="20"/>
      <c r="F32" s="130">
        <f>ROUND(SUM(F9:F31),4)</f>
        <v>0.058</v>
      </c>
      <c r="G32" s="23"/>
      <c r="L32" s="22"/>
    </row>
    <row r="33" spans="1:12" ht="13.5" thickTop="1">
      <c r="A33" s="22"/>
      <c r="G33" s="21"/>
      <c r="L33" s="22"/>
    </row>
    <row r="34" spans="1:12" ht="12.75">
      <c r="A34" s="22"/>
      <c r="G34" s="21"/>
      <c r="H34" s="21"/>
      <c r="L34" s="22"/>
    </row>
    <row r="35" spans="1:12" ht="12.75">
      <c r="A35" s="22"/>
      <c r="G35" s="21"/>
      <c r="H35" s="21"/>
      <c r="L35" s="22"/>
    </row>
    <row r="36" spans="1:12" ht="12.75" customHeight="1">
      <c r="A36" s="22"/>
      <c r="C36" s="20"/>
      <c r="D36" s="20"/>
      <c r="E36" s="20"/>
      <c r="F36" s="20"/>
      <c r="G36" s="21"/>
      <c r="H36" s="21"/>
      <c r="L36" s="22"/>
    </row>
    <row r="37" spans="1:12" ht="21.75" customHeight="1">
      <c r="A37" s="2"/>
      <c r="B37" s="1508" t="s">
        <v>116</v>
      </c>
      <c r="C37" s="1508"/>
      <c r="D37" s="1508"/>
      <c r="E37" s="1508"/>
      <c r="F37" s="1508"/>
      <c r="G37" s="1508"/>
      <c r="H37" s="21"/>
      <c r="I37" s="19"/>
      <c r="L37" s="21"/>
    </row>
    <row r="38" spans="1:12" ht="12.75" customHeight="1">
      <c r="A38" s="21"/>
      <c r="B38" s="1508"/>
      <c r="C38" s="1508"/>
      <c r="D38" s="1508"/>
      <c r="E38" s="1508"/>
      <c r="F38" s="1508"/>
      <c r="G38" s="1508"/>
      <c r="H38" s="21"/>
      <c r="L38" s="21"/>
    </row>
    <row r="39" spans="1:12" ht="17.25" customHeight="1">
      <c r="A39" s="21"/>
      <c r="B39" s="1508"/>
      <c r="C39" s="1508"/>
      <c r="D39" s="1508"/>
      <c r="E39" s="1508"/>
      <c r="F39" s="1508"/>
      <c r="G39" s="1508"/>
      <c r="H39" s="21"/>
      <c r="I39" s="21"/>
      <c r="L39" s="21"/>
    </row>
    <row r="40" spans="1:12" ht="18" customHeight="1">
      <c r="A40" s="5" t="s">
        <v>501</v>
      </c>
      <c r="B40" s="5" t="s">
        <v>76</v>
      </c>
      <c r="C40" s="5"/>
      <c r="D40" s="5"/>
      <c r="E40" s="5"/>
      <c r="F40" s="5"/>
      <c r="G40" s="5"/>
      <c r="H40" s="21"/>
      <c r="I40" s="21"/>
      <c r="L40" s="21"/>
    </row>
  </sheetData>
  <sheetProtection/>
  <mergeCells count="5">
    <mergeCell ref="B37:G3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83"/>
  <sheetViews>
    <sheetView zoomScale="55" zoomScaleNormal="55" zoomScalePageLayoutView="0" workbookViewId="0" topLeftCell="A8">
      <selection activeCell="C21" sqref="C21"/>
    </sheetView>
  </sheetViews>
  <sheetFormatPr defaultColWidth="9.140625" defaultRowHeight="12.75"/>
  <cols>
    <col min="1" max="1" width="7.28125" style="118" customWidth="1"/>
    <col min="2" max="2" width="1.7109375" style="119" customWidth="1"/>
    <col min="3" max="3" width="62.421875" style="119" customWidth="1"/>
    <col min="4" max="4" width="19.140625" style="119" customWidth="1"/>
    <col min="5" max="5" width="22.7109375" style="113" bestFit="1" customWidth="1"/>
    <col min="6" max="6" width="1.7109375" style="104" customWidth="1"/>
    <col min="7" max="7" width="21.8515625" style="104" customWidth="1"/>
    <col min="8" max="8" width="1.7109375" style="104" customWidth="1"/>
    <col min="9" max="9" width="21.421875" style="104" customWidth="1"/>
    <col min="10" max="10" width="1.7109375" style="104" customWidth="1"/>
    <col min="11" max="11" width="19.421875" style="104" bestFit="1" customWidth="1"/>
    <col min="12" max="12" width="3.421875" style="104" customWidth="1"/>
    <col min="13" max="13" width="22.57421875" style="104" customWidth="1"/>
    <col min="14" max="14" width="1.28515625" style="104" customWidth="1"/>
    <col min="15" max="15" width="22.140625" style="227" customWidth="1"/>
    <col min="16" max="16384" width="9.140625" style="104" customWidth="1"/>
  </cols>
  <sheetData>
    <row r="1" spans="1:13" ht="18.75" customHeight="1">
      <c r="A1" s="1480" t="s">
        <v>389</v>
      </c>
      <c r="B1" s="1480"/>
      <c r="C1" s="1480"/>
      <c r="D1" s="1480"/>
      <c r="E1" s="1480"/>
      <c r="F1" s="1480"/>
      <c r="G1" s="1480"/>
      <c r="H1" s="1480"/>
      <c r="I1" s="1480"/>
      <c r="J1" s="1480"/>
      <c r="K1" s="1480"/>
      <c r="L1" s="1480"/>
      <c r="M1" s="1480"/>
    </row>
    <row r="2" spans="1:13" ht="18.75" customHeight="1">
      <c r="A2" s="1481" t="str">
        <f>"Cost of Service Formula Rate Using Actual/Projected FF1 Balances"</f>
        <v>Cost of Service Formula Rate Using Actual/Projected FF1 Balances</v>
      </c>
      <c r="B2" s="1481"/>
      <c r="C2" s="1481"/>
      <c r="D2" s="1481"/>
      <c r="E2" s="1481"/>
      <c r="F2" s="1481"/>
      <c r="G2" s="1481"/>
      <c r="H2" s="1481"/>
      <c r="I2" s="1481"/>
      <c r="J2" s="1481"/>
      <c r="K2" s="1481"/>
      <c r="L2" s="1481"/>
      <c r="M2" s="1481"/>
    </row>
    <row r="3" spans="1:13" ht="18.75" customHeight="1">
      <c r="A3" s="1481" t="s">
        <v>240</v>
      </c>
      <c r="B3" s="1481"/>
      <c r="C3" s="1481"/>
      <c r="D3" s="1481"/>
      <c r="E3" s="1481"/>
      <c r="F3" s="1481"/>
      <c r="G3" s="1481"/>
      <c r="H3" s="1481"/>
      <c r="I3" s="1481"/>
      <c r="J3" s="1481"/>
      <c r="K3" s="1481"/>
      <c r="L3" s="1481"/>
      <c r="M3" s="1481"/>
    </row>
    <row r="4" spans="1:13" ht="18.75" customHeight="1">
      <c r="A4" s="1488" t="str">
        <f>+'I&amp;M TCOS'!F7</f>
        <v>INDIANA MICHIGAN POWER COMPANY</v>
      </c>
      <c r="B4" s="1488"/>
      <c r="C4" s="1488"/>
      <c r="D4" s="1488"/>
      <c r="E4" s="1488"/>
      <c r="F4" s="1488"/>
      <c r="G4" s="1488"/>
      <c r="H4" s="1488"/>
      <c r="I4" s="1488"/>
      <c r="J4" s="1488"/>
      <c r="K4" s="1488"/>
      <c r="L4" s="1488"/>
      <c r="M4" s="1488"/>
    </row>
    <row r="5" spans="1:13" ht="18" customHeight="1">
      <c r="A5" s="1492"/>
      <c r="B5" s="1492"/>
      <c r="C5" s="1492"/>
      <c r="D5" s="1492"/>
      <c r="E5" s="1492"/>
      <c r="F5" s="1492"/>
      <c r="G5" s="1492"/>
      <c r="H5" s="1492"/>
      <c r="I5" s="1492"/>
      <c r="J5" s="1492"/>
      <c r="K5" s="1492"/>
      <c r="L5" s="1492"/>
      <c r="M5" s="1492"/>
    </row>
    <row r="6" spans="1:13" ht="18" customHeight="1">
      <c r="A6" s="1507"/>
      <c r="B6" s="1507"/>
      <c r="C6" s="1507"/>
      <c r="D6" s="1507"/>
      <c r="E6" s="1507"/>
      <c r="F6" s="1507"/>
      <c r="G6" s="1507"/>
      <c r="H6" s="1507"/>
      <c r="I6" s="1507"/>
      <c r="J6" s="1507"/>
      <c r="K6" s="1507"/>
      <c r="L6" s="1507"/>
      <c r="M6" s="1507"/>
    </row>
    <row r="7" spans="1:13" ht="18" customHeight="1">
      <c r="A7" s="161"/>
      <c r="B7" s="161"/>
      <c r="C7" s="161"/>
      <c r="D7" s="161"/>
      <c r="E7" s="161"/>
      <c r="F7" s="161"/>
      <c r="G7" s="161"/>
      <c r="H7" s="161"/>
      <c r="I7" s="161"/>
      <c r="J7" s="161"/>
      <c r="K7" s="161"/>
      <c r="L7" s="161"/>
      <c r="M7" s="161"/>
    </row>
    <row r="8" spans="1:13" ht="19.5" customHeight="1">
      <c r="A8" s="106"/>
      <c r="B8" s="107"/>
      <c r="C8" s="37" t="s">
        <v>164</v>
      </c>
      <c r="E8" s="37" t="s">
        <v>165</v>
      </c>
      <c r="G8" s="37" t="s">
        <v>166</v>
      </c>
      <c r="I8" s="37" t="s">
        <v>167</v>
      </c>
      <c r="K8" s="37" t="s">
        <v>85</v>
      </c>
      <c r="M8" s="37" t="s">
        <v>86</v>
      </c>
    </row>
    <row r="9" spans="1:29" ht="18">
      <c r="A9" s="203"/>
      <c r="B9" s="204"/>
      <c r="C9" s="204"/>
      <c r="D9" s="204"/>
      <c r="E9"/>
      <c r="F9"/>
      <c r="G9"/>
      <c r="H9"/>
      <c r="I9"/>
      <c r="J9"/>
      <c r="K9"/>
      <c r="L9"/>
      <c r="M9"/>
      <c r="Q9" s="40"/>
      <c r="R9" s="40"/>
      <c r="S9" s="40"/>
      <c r="T9" s="40"/>
      <c r="U9" s="40"/>
      <c r="V9" s="40"/>
      <c r="W9" s="40"/>
      <c r="X9" s="40"/>
      <c r="Y9" s="40"/>
      <c r="Z9" s="40"/>
      <c r="AA9" s="40"/>
      <c r="AB9" s="40"/>
      <c r="AC9" s="40"/>
    </row>
    <row r="10" spans="1:13" ht="19.5">
      <c r="A10" s="203" t="s">
        <v>171</v>
      </c>
      <c r="B10" s="204"/>
      <c r="C10" s="204"/>
      <c r="D10" s="204"/>
      <c r="E10" s="205" t="s">
        <v>120</v>
      </c>
      <c r="F10" s="203"/>
      <c r="G10" s="203"/>
      <c r="H10" s="203"/>
      <c r="I10" s="203"/>
      <c r="J10" s="203"/>
      <c r="K10" s="112"/>
      <c r="L10" s="112"/>
      <c r="M10" s="206"/>
    </row>
    <row r="11" spans="1:13" ht="19.5">
      <c r="A11" s="207" t="s">
        <v>119</v>
      </c>
      <c r="B11" s="204"/>
      <c r="C11" s="207" t="s">
        <v>308</v>
      </c>
      <c r="D11" s="204"/>
      <c r="E11" s="208" t="s">
        <v>185</v>
      </c>
      <c r="F11" s="203"/>
      <c r="G11" s="207" t="s">
        <v>311</v>
      </c>
      <c r="H11" s="203"/>
      <c r="I11" s="207" t="s">
        <v>163</v>
      </c>
      <c r="J11" s="203"/>
      <c r="K11" s="209" t="s">
        <v>183</v>
      </c>
      <c r="L11" s="210"/>
      <c r="M11" s="209" t="s">
        <v>312</v>
      </c>
    </row>
    <row r="12" spans="1:12" ht="19.5">
      <c r="A12" s="108"/>
      <c r="B12" s="107"/>
      <c r="C12" s="103"/>
      <c r="D12" s="103"/>
      <c r="E12" s="103" t="s">
        <v>69</v>
      </c>
      <c r="F12" s="103"/>
      <c r="G12" s="103"/>
      <c r="H12" s="103"/>
      <c r="I12" s="103"/>
      <c r="J12" s="103"/>
      <c r="K12" s="102"/>
      <c r="L12" s="102"/>
    </row>
    <row r="13" spans="1:12" ht="19.5">
      <c r="A13" s="106"/>
      <c r="B13" s="107"/>
      <c r="C13" s="107"/>
      <c r="D13" s="107"/>
      <c r="E13" s="109"/>
      <c r="F13" s="105"/>
      <c r="G13" s="105"/>
      <c r="H13" s="105"/>
      <c r="I13" s="101"/>
      <c r="J13" s="105"/>
      <c r="K13" s="102"/>
      <c r="L13" s="102"/>
    </row>
    <row r="14" spans="1:13" ht="19.5">
      <c r="A14" s="106">
        <v>1</v>
      </c>
      <c r="B14" s="107"/>
      <c r="C14" s="110" t="s">
        <v>325</v>
      </c>
      <c r="D14" s="107"/>
      <c r="E14" s="102"/>
      <c r="F14" s="102"/>
      <c r="G14" s="129"/>
      <c r="H14" s="129"/>
      <c r="I14" s="129"/>
      <c r="J14" s="129"/>
      <c r="K14" s="129"/>
      <c r="L14" s="129"/>
      <c r="M14" s="111"/>
    </row>
    <row r="15" spans="1:13" ht="19.5">
      <c r="A15" s="106">
        <f>+A14+1</f>
        <v>2</v>
      </c>
      <c r="B15" s="107"/>
      <c r="C15" s="102" t="s">
        <v>309</v>
      </c>
      <c r="D15" s="107"/>
      <c r="E15" s="277">
        <f>'WS H-1-Detail of Tax Amts'!E13</f>
        <v>17353149</v>
      </c>
      <c r="F15" s="102"/>
      <c r="G15" s="129"/>
      <c r="H15" s="129"/>
      <c r="I15" s="129"/>
      <c r="J15" s="129"/>
      <c r="K15" s="129"/>
      <c r="L15" s="129"/>
      <c r="M15" s="111">
        <f>+E15</f>
        <v>17353149</v>
      </c>
    </row>
    <row r="16" spans="1:13" ht="19.5">
      <c r="A16" s="106"/>
      <c r="B16" s="107"/>
      <c r="C16" s="112"/>
      <c r="D16" s="107"/>
      <c r="E16" s="276"/>
      <c r="F16" s="102"/>
      <c r="G16" s="129"/>
      <c r="H16" s="129"/>
      <c r="I16" s="129"/>
      <c r="J16" s="129"/>
      <c r="K16" s="129"/>
      <c r="L16" s="129"/>
      <c r="M16" s="111"/>
    </row>
    <row r="17" spans="1:13" ht="18">
      <c r="A17" s="1085">
        <f>+A15+1</f>
        <v>3</v>
      </c>
      <c r="B17" s="1086"/>
      <c r="C17" s="1087" t="s">
        <v>326</v>
      </c>
      <c r="D17" s="1086"/>
      <c r="E17" s="1088"/>
      <c r="F17" s="1089"/>
      <c r="G17" s="1090"/>
      <c r="H17" s="1083"/>
      <c r="I17" s="1083"/>
      <c r="J17" s="1083"/>
      <c r="K17" s="1083"/>
      <c r="L17" s="1083"/>
      <c r="M17" s="1084"/>
    </row>
    <row r="18" spans="1:15" ht="18">
      <c r="A18" s="1085">
        <f>+A17+1</f>
        <v>4</v>
      </c>
      <c r="B18" s="1086"/>
      <c r="C18" s="1089" t="s">
        <v>603</v>
      </c>
      <c r="D18" s="1089"/>
      <c r="E18" s="1091">
        <f>'WS H-1-Detail of Tax Amts'!E25</f>
        <v>38901226</v>
      </c>
      <c r="F18" s="1089"/>
      <c r="G18" s="1090">
        <f>+E18</f>
        <v>38901226</v>
      </c>
      <c r="H18" s="1083"/>
      <c r="I18" s="1083"/>
      <c r="J18" s="1083"/>
      <c r="K18" s="1083"/>
      <c r="L18" s="1083"/>
      <c r="M18" s="1084"/>
      <c r="O18"/>
    </row>
    <row r="19" spans="1:15" ht="18">
      <c r="A19" s="1085">
        <f>+A18+1</f>
        <v>5</v>
      </c>
      <c r="B19" s="1086"/>
      <c r="C19" s="1089" t="s">
        <v>604</v>
      </c>
      <c r="D19" s="1089"/>
      <c r="E19" s="1091">
        <f>'WS H-1-Detail of Tax Amts'!E35</f>
        <v>18152310</v>
      </c>
      <c r="F19" s="1089"/>
      <c r="G19" s="1090">
        <f>+E19</f>
        <v>18152310</v>
      </c>
      <c r="H19" s="1083"/>
      <c r="I19" s="1083"/>
      <c r="J19" s="1083"/>
      <c r="K19" s="1083"/>
      <c r="L19" s="1083"/>
      <c r="M19" s="1084"/>
      <c r="O19"/>
    </row>
    <row r="20" spans="1:15" ht="18">
      <c r="A20" s="1085">
        <f>+A19+1</f>
        <v>6</v>
      </c>
      <c r="B20" s="1086"/>
      <c r="C20" s="1089" t="s">
        <v>979</v>
      </c>
      <c r="D20" s="1091"/>
      <c r="E20" s="1091">
        <f>'WS H-1-Detail of Tax Amts'!E46</f>
        <v>6554</v>
      </c>
      <c r="F20" s="1089"/>
      <c r="G20" s="1090">
        <f>+E20</f>
        <v>6554</v>
      </c>
      <c r="H20" s="1083"/>
      <c r="I20" s="1083"/>
      <c r="J20" s="1083"/>
      <c r="K20" s="1083"/>
      <c r="L20" s="1083"/>
      <c r="M20" s="1084"/>
      <c r="O20"/>
    </row>
    <row r="21" spans="1:15" ht="18">
      <c r="A21" s="1085">
        <f>+A20+1</f>
        <v>7</v>
      </c>
      <c r="B21" s="1086"/>
      <c r="C21" s="1089" t="s">
        <v>465</v>
      </c>
      <c r="D21" s="1091"/>
      <c r="E21" s="1091">
        <f>'WS H-1-Detail of Tax Amts'!E52</f>
        <v>0</v>
      </c>
      <c r="F21" s="1089"/>
      <c r="G21" s="1090">
        <f>E21</f>
        <v>0</v>
      </c>
      <c r="H21" s="1083"/>
      <c r="I21" s="1083"/>
      <c r="J21" s="1083"/>
      <c r="K21" s="1083"/>
      <c r="L21" s="1083"/>
      <c r="M21" s="1084"/>
      <c r="O21"/>
    </row>
    <row r="22" spans="1:15" ht="19.5">
      <c r="A22" s="106"/>
      <c r="B22" s="107"/>
      <c r="C22" s="112"/>
      <c r="D22" s="107"/>
      <c r="E22" s="276"/>
      <c r="F22" s="102"/>
      <c r="G22" s="129"/>
      <c r="H22" s="129"/>
      <c r="I22" s="129"/>
      <c r="J22" s="129"/>
      <c r="K22" s="129"/>
      <c r="L22" s="129"/>
      <c r="M22" s="111"/>
      <c r="O22" s="228"/>
    </row>
    <row r="23" spans="1:15" ht="19.5">
      <c r="A23" s="106">
        <f>+A21+1</f>
        <v>8</v>
      </c>
      <c r="B23" s="107"/>
      <c r="C23" s="110" t="s">
        <v>327</v>
      </c>
      <c r="D23" s="107"/>
      <c r="E23" s="276"/>
      <c r="F23" s="102"/>
      <c r="G23" s="129"/>
      <c r="H23" s="129"/>
      <c r="I23" s="129"/>
      <c r="J23" s="129"/>
      <c r="K23" s="129"/>
      <c r="L23" s="129"/>
      <c r="M23" s="111"/>
      <c r="O23" s="228"/>
    </row>
    <row r="24" spans="1:15" ht="19.5">
      <c r="A24" s="106">
        <f>+A23+1</f>
        <v>9</v>
      </c>
      <c r="B24" s="107"/>
      <c r="C24" s="105" t="s">
        <v>323</v>
      </c>
      <c r="D24" s="107"/>
      <c r="E24" s="277">
        <f>'WS H-1-Detail of Tax Amts'!E63</f>
        <v>11468629</v>
      </c>
      <c r="F24" s="102"/>
      <c r="G24" s="129"/>
      <c r="H24" s="129"/>
      <c r="I24" s="129">
        <f>+E24</f>
        <v>11468629</v>
      </c>
      <c r="J24" s="129"/>
      <c r="K24" s="129"/>
      <c r="L24" s="129"/>
      <c r="M24" s="111"/>
      <c r="O24" s="228"/>
    </row>
    <row r="25" spans="1:13" ht="19.5">
      <c r="A25" s="106">
        <f>+A24+1</f>
        <v>10</v>
      </c>
      <c r="B25" s="107"/>
      <c r="C25" s="105" t="s">
        <v>316</v>
      </c>
      <c r="D25" s="107"/>
      <c r="E25" s="277">
        <f>'WS H-1-Detail of Tax Amts'!E65</f>
        <v>66563</v>
      </c>
      <c r="F25" s="102"/>
      <c r="G25" s="102"/>
      <c r="H25" s="102"/>
      <c r="I25" s="111">
        <f>+E25</f>
        <v>66563</v>
      </c>
      <c r="J25" s="105"/>
      <c r="K25" s="102"/>
      <c r="L25" s="102"/>
      <c r="M25" s="111"/>
    </row>
    <row r="26" spans="1:13" ht="19.5">
      <c r="A26" s="106">
        <f>+A25+1</f>
        <v>11</v>
      </c>
      <c r="B26" s="107"/>
      <c r="C26" s="105" t="s">
        <v>317</v>
      </c>
      <c r="D26" s="107"/>
      <c r="E26" s="277">
        <f>'WS H-1-Detail of Tax Amts'!E67</f>
        <v>332440</v>
      </c>
      <c r="F26" s="102"/>
      <c r="G26" s="102"/>
      <c r="H26" s="102"/>
      <c r="I26" s="111">
        <f>+E26</f>
        <v>332440</v>
      </c>
      <c r="J26" s="109"/>
      <c r="K26" s="102"/>
      <c r="L26" s="102"/>
      <c r="M26" s="111"/>
    </row>
    <row r="27" spans="1:13" ht="19.5">
      <c r="A27" s="106" t="s">
        <v>116</v>
      </c>
      <c r="B27" s="107"/>
      <c r="C27" s="102"/>
      <c r="D27" s="107"/>
      <c r="E27" s="276"/>
      <c r="F27" s="102"/>
      <c r="G27" s="102"/>
      <c r="H27" s="102"/>
      <c r="I27" s="121"/>
      <c r="J27" s="122"/>
      <c r="K27" s="125"/>
      <c r="L27" s="125"/>
      <c r="M27" s="111"/>
    </row>
    <row r="28" spans="1:13" ht="19.5">
      <c r="A28" s="106">
        <f>A26+1</f>
        <v>12</v>
      </c>
      <c r="B28" s="107"/>
      <c r="C28" s="110" t="s">
        <v>442</v>
      </c>
      <c r="D28" s="107"/>
      <c r="E28" s="276"/>
      <c r="F28" s="102"/>
      <c r="G28" s="102"/>
      <c r="H28" s="102"/>
      <c r="I28" s="121"/>
      <c r="J28" s="122"/>
      <c r="K28" s="125"/>
      <c r="L28" s="125"/>
      <c r="M28" s="111"/>
    </row>
    <row r="29" spans="1:13" ht="19.5">
      <c r="A29" s="106">
        <f>A28+1</f>
        <v>13</v>
      </c>
      <c r="B29" s="107"/>
      <c r="C29" s="117" t="s">
        <v>443</v>
      </c>
      <c r="D29" s="230"/>
      <c r="E29" s="277">
        <f>'WS H-1-Detail of Tax Amts'!E73</f>
        <v>0</v>
      </c>
      <c r="F29" s="117"/>
      <c r="G29" s="102"/>
      <c r="H29" s="102"/>
      <c r="I29" s="121"/>
      <c r="J29" s="122"/>
      <c r="K29" s="125"/>
      <c r="L29" s="125"/>
      <c r="M29" s="111">
        <f>E29</f>
        <v>0</v>
      </c>
    </row>
    <row r="30" spans="1:13" ht="19.5">
      <c r="A30" s="106"/>
      <c r="B30" s="107"/>
      <c r="C30" s="102"/>
      <c r="D30" s="107"/>
      <c r="E30" s="276"/>
      <c r="F30" s="102"/>
      <c r="G30" s="102"/>
      <c r="H30" s="102"/>
      <c r="I30" s="121"/>
      <c r="J30" s="122"/>
      <c r="K30" s="125"/>
      <c r="L30" s="125"/>
      <c r="M30" s="111"/>
    </row>
    <row r="31" spans="1:13" ht="19.5">
      <c r="A31" s="114">
        <f>+A29+1</f>
        <v>14</v>
      </c>
      <c r="B31" s="115"/>
      <c r="C31" s="110" t="s">
        <v>324</v>
      </c>
      <c r="D31" s="116"/>
      <c r="E31" s="276"/>
      <c r="F31" s="102"/>
      <c r="G31" s="111"/>
      <c r="H31" s="111"/>
      <c r="I31" s="111"/>
      <c r="J31" s="111"/>
      <c r="K31" s="111"/>
      <c r="L31" s="111"/>
      <c r="M31" s="111"/>
    </row>
    <row r="32" spans="1:13" ht="19.5">
      <c r="A32" s="114">
        <f>A31+1</f>
        <v>15</v>
      </c>
      <c r="B32" s="115"/>
      <c r="C32" s="102" t="s">
        <v>807</v>
      </c>
      <c r="D32" s="116"/>
      <c r="E32" s="277">
        <f>'WS H-1-Detail of Tax Amts'!E77</f>
        <v>0</v>
      </c>
      <c r="F32" s="117"/>
      <c r="G32" s="111"/>
      <c r="H32" s="111"/>
      <c r="I32" s="111"/>
      <c r="J32" s="111"/>
      <c r="K32" s="111"/>
      <c r="L32" s="111"/>
      <c r="M32" s="111">
        <f>E32</f>
        <v>0</v>
      </c>
    </row>
    <row r="33" spans="1:13" ht="19.5">
      <c r="A33" s="106">
        <f>A32+1</f>
        <v>16</v>
      </c>
      <c r="B33" s="107"/>
      <c r="C33" s="102"/>
      <c r="D33" s="107"/>
      <c r="E33" s="158">
        <f>'WS H-1-Detail of Tax Amts'!E82</f>
        <v>2318492</v>
      </c>
      <c r="F33" s="102"/>
      <c r="G33" s="111"/>
      <c r="H33" s="111"/>
      <c r="I33" s="111"/>
      <c r="J33" s="111"/>
      <c r="K33" s="111">
        <f>+E33</f>
        <v>2318492</v>
      </c>
      <c r="L33" s="111"/>
      <c r="M33" s="111"/>
    </row>
    <row r="34" spans="1:13" ht="19.5">
      <c r="A34" s="106">
        <f aca="true" t="shared" si="0" ref="A34:A40">+A33+1</f>
        <v>17</v>
      </c>
      <c r="B34" s="107"/>
      <c r="C34" s="102"/>
      <c r="D34"/>
      <c r="E34" s="158">
        <f>'WS H-1-Detail of Tax Amts'!E87</f>
        <v>15338</v>
      </c>
      <c r="F34" s="102"/>
      <c r="G34" s="158"/>
      <c r="H34" s="158"/>
      <c r="I34" s="158"/>
      <c r="J34" s="158"/>
      <c r="K34" s="111">
        <f>+E34</f>
        <v>15338</v>
      </c>
      <c r="L34" s="158"/>
      <c r="M34" s="111"/>
    </row>
    <row r="35" spans="1:13" ht="19.5">
      <c r="A35" s="106">
        <f>+A34+1</f>
        <v>18</v>
      </c>
      <c r="B35" s="107"/>
      <c r="C35" s="102"/>
      <c r="D35"/>
      <c r="E35" s="158">
        <f>'WS H-1-Detail of Tax Amts'!E97</f>
        <v>463</v>
      </c>
      <c r="F35" s="102"/>
      <c r="G35" s="111"/>
      <c r="H35" s="111"/>
      <c r="I35" s="111"/>
      <c r="J35" s="111"/>
      <c r="K35" s="111">
        <f>+E35</f>
        <v>463</v>
      </c>
      <c r="L35" s="111"/>
      <c r="M35" s="111"/>
    </row>
    <row r="36" spans="1:13" ht="19.5">
      <c r="A36" s="106">
        <f t="shared" si="0"/>
        <v>19</v>
      </c>
      <c r="B36" s="107"/>
      <c r="C36" s="102"/>
      <c r="D36" s="107"/>
      <c r="E36" s="158">
        <f>'WS H-1-Detail of Tax Amts'!E109</f>
        <v>0</v>
      </c>
      <c r="F36" s="102"/>
      <c r="G36" s="111"/>
      <c r="H36" s="111"/>
      <c r="I36" s="111"/>
      <c r="J36" s="111"/>
      <c r="K36" s="111">
        <f>+E36</f>
        <v>0</v>
      </c>
      <c r="L36" s="111"/>
      <c r="M36" s="111"/>
    </row>
    <row r="37" spans="1:13" ht="19.5">
      <c r="A37" s="106">
        <f t="shared" si="0"/>
        <v>20</v>
      </c>
      <c r="B37" s="107"/>
      <c r="C37" s="102"/>
      <c r="D37" s="107"/>
      <c r="E37" s="158">
        <f>'WS H-1-Detail of Tax Amts'!E112</f>
        <v>49228</v>
      </c>
      <c r="F37" s="117"/>
      <c r="G37" s="111"/>
      <c r="H37" s="111"/>
      <c r="I37" s="111"/>
      <c r="J37" s="111"/>
      <c r="K37" s="111"/>
      <c r="L37" s="111"/>
      <c r="M37" s="111">
        <f>+E37</f>
        <v>49228</v>
      </c>
    </row>
    <row r="38" spans="1:13" ht="19.5">
      <c r="A38" s="106">
        <f t="shared" si="0"/>
        <v>21</v>
      </c>
      <c r="B38" s="102"/>
      <c r="C38" s="102"/>
      <c r="D38" s="102"/>
      <c r="E38" s="158">
        <f>'WS H-1-Detail of Tax Amts'!E119</f>
        <v>12387</v>
      </c>
      <c r="F38" s="102"/>
      <c r="G38" s="111"/>
      <c r="H38" s="111"/>
      <c r="I38" s="111"/>
      <c r="J38" s="111"/>
      <c r="K38" s="111"/>
      <c r="L38" s="111"/>
      <c r="M38" s="111">
        <f>+E38</f>
        <v>12387</v>
      </c>
    </row>
    <row r="39" spans="1:13" ht="19.5">
      <c r="A39" s="106">
        <f t="shared" si="0"/>
        <v>22</v>
      </c>
      <c r="B39" s="102"/>
      <c r="C39" s="128"/>
      <c r="D39" s="117"/>
      <c r="E39" s="158">
        <f>'WS H-1-Detail of Tax Amts'!E122</f>
        <v>0</v>
      </c>
      <c r="F39" s="117"/>
      <c r="G39" s="111"/>
      <c r="H39" s="111"/>
      <c r="I39" s="111"/>
      <c r="J39" s="111"/>
      <c r="K39" s="111"/>
      <c r="L39" s="111"/>
      <c r="M39" s="111">
        <f>+E39</f>
        <v>0</v>
      </c>
    </row>
    <row r="40" spans="1:13" ht="19.5">
      <c r="A40" s="106">
        <f t="shared" si="0"/>
        <v>23</v>
      </c>
      <c r="B40" s="102"/>
      <c r="C40" s="128"/>
      <c r="D40" s="117"/>
      <c r="E40" s="158"/>
      <c r="F40" s="117"/>
      <c r="G40" s="111"/>
      <c r="H40" s="111"/>
      <c r="I40" s="111"/>
      <c r="J40" s="111"/>
      <c r="K40" s="111"/>
      <c r="L40" s="111"/>
      <c r="M40" s="111"/>
    </row>
    <row r="41" spans="1:13" ht="20.25" thickBot="1">
      <c r="A41" s="106">
        <f>A40+1</f>
        <v>24</v>
      </c>
      <c r="B41" s="239"/>
      <c r="C41" s="102" t="s">
        <v>313</v>
      </c>
      <c r="D41"/>
      <c r="E41" s="127">
        <f>SUM(E15:E39)</f>
        <v>88676779</v>
      </c>
      <c r="F41" s="102"/>
      <c r="G41" s="127">
        <f>SUM(G15:G39)</f>
        <v>57060090</v>
      </c>
      <c r="H41" s="120"/>
      <c r="I41" s="127">
        <f>SUM(I15:I39)</f>
        <v>11867632</v>
      </c>
      <c r="J41" s="123"/>
      <c r="K41" s="127">
        <f>SUM(K15:K39)</f>
        <v>2334293</v>
      </c>
      <c r="L41" s="126"/>
      <c r="M41" s="127">
        <f>SUM(M15:M39)</f>
        <v>17414764</v>
      </c>
    </row>
    <row r="42" spans="1:13" ht="20.25" thickTop="1">
      <c r="A42" s="6"/>
      <c r="B42" s="239"/>
      <c r="C42" s="102" t="s">
        <v>383</v>
      </c>
      <c r="D42"/>
      <c r="E42"/>
      <c r="F42" s="102"/>
      <c r="G42" s="120"/>
      <c r="H42" s="120"/>
      <c r="I42" s="123"/>
      <c r="J42" s="124"/>
      <c r="K42" s="126"/>
      <c r="L42" s="126"/>
      <c r="M42" s="126"/>
    </row>
    <row r="43" spans="1:13" ht="19.5">
      <c r="A43" s="6"/>
      <c r="B43" s="239"/>
      <c r="C43" s="117" t="s">
        <v>80</v>
      </c>
      <c r="D43"/>
      <c r="E43"/>
      <c r="F43" s="102"/>
      <c r="G43" s="120"/>
      <c r="H43" s="120"/>
      <c r="I43" s="123"/>
      <c r="J43" s="124"/>
      <c r="K43" s="126"/>
      <c r="L43" s="126"/>
      <c r="M43" s="126"/>
    </row>
    <row r="44" spans="1:13" ht="19.5">
      <c r="A44" s="6"/>
      <c r="B44" s="239"/>
      <c r="C44" s="1509" t="s">
        <v>464</v>
      </c>
      <c r="D44" s="1509"/>
      <c r="E44" s="1509"/>
      <c r="F44" s="1509"/>
      <c r="G44" s="1509"/>
      <c r="H44" s="1509"/>
      <c r="I44" s="1509"/>
      <c r="J44" s="1509"/>
      <c r="K44" s="1509"/>
      <c r="L44" s="1509"/>
      <c r="M44" s="1509"/>
    </row>
    <row r="45" spans="1:13" ht="19.5">
      <c r="A45" s="106"/>
      <c r="C45" s="102"/>
      <c r="D45" s="102"/>
      <c r="E45" s="131" t="s">
        <v>231</v>
      </c>
      <c r="G45" s="131" t="s">
        <v>335</v>
      </c>
      <c r="H45" s="131"/>
      <c r="I45" s="131" t="s">
        <v>440</v>
      </c>
      <c r="J45" s="131"/>
      <c r="K45" s="131" t="s">
        <v>336</v>
      </c>
      <c r="L45" s="131"/>
      <c r="M45" s="131" t="s">
        <v>120</v>
      </c>
    </row>
    <row r="46" spans="1:13" ht="19.5">
      <c r="A46" s="154">
        <f>+A41+1</f>
        <v>25</v>
      </c>
      <c r="B46" s="155"/>
      <c r="C46" s="253" t="str">
        <f>"Functionalized Net Plant (TCOS, Lns "&amp;'I&amp;M TCOS'!B88&amp;" thru "&amp;'I&amp;M TCOS'!B93&amp;")"</f>
        <v>Functionalized Net Plant (TCOS, Lns 41 thru 46)</v>
      </c>
      <c r="D46" s="117"/>
      <c r="E46" s="254">
        <f>+'I&amp;M TCOS'!G88</f>
        <v>2505173236.075</v>
      </c>
      <c r="F46" s="253"/>
      <c r="G46" s="254">
        <f>+'I&amp;M TCOS'!G89</f>
        <v>955032898</v>
      </c>
      <c r="H46" s="253"/>
      <c r="I46" s="254">
        <f>+'I&amp;M TCOS'!G90</f>
        <v>1387378492.5</v>
      </c>
      <c r="J46" s="253"/>
      <c r="K46" s="255">
        <f>+'I&amp;M TCOS'!G91</f>
        <v>101371779.435</v>
      </c>
      <c r="L46" s="117"/>
      <c r="M46" s="156">
        <f>SUM(E46:K46)</f>
        <v>4948956406.01</v>
      </c>
    </row>
    <row r="47" spans="1:13" ht="19.5">
      <c r="A47" s="154"/>
      <c r="B47" s="155"/>
      <c r="C47" s="112" t="s">
        <v>927</v>
      </c>
      <c r="D47" s="117"/>
      <c r="E47" s="156"/>
      <c r="F47" s="117"/>
      <c r="G47" s="221"/>
      <c r="H47" s="117"/>
      <c r="I47" s="156"/>
      <c r="J47" s="117"/>
      <c r="K47" s="157"/>
      <c r="L47" s="117"/>
      <c r="M47" s="226"/>
    </row>
    <row r="48" spans="1:13" ht="19.5">
      <c r="A48" s="154">
        <f>+A46+1</f>
        <v>26</v>
      </c>
      <c r="B48" s="155"/>
      <c r="C48" s="117" t="str">
        <f>"Percentage of Plant in "&amp;C47&amp;""</f>
        <v>Percentage of Plant in MICHIGAN JURISDICTION</v>
      </c>
      <c r="D48" s="117"/>
      <c r="E48" s="1387">
        <v>0.7897</v>
      </c>
      <c r="F48" s="1238"/>
      <c r="G48" s="1387">
        <v>0.1594</v>
      </c>
      <c r="H48" s="1238"/>
      <c r="I48" s="1387">
        <v>0.1917</v>
      </c>
      <c r="J48" s="1237"/>
      <c r="K48" s="1387">
        <v>0.1799</v>
      </c>
      <c r="L48" s="117"/>
      <c r="M48" s="226"/>
    </row>
    <row r="49" spans="1:15" ht="19.5">
      <c r="A49" s="154">
        <f aca="true" t="shared" si="1" ref="A49:A55">+A48+1</f>
        <v>27</v>
      </c>
      <c r="B49" s="155"/>
      <c r="C49" s="253" t="str">
        <f>"Net Plant in "&amp;C47&amp;" (Ln "&amp;A46&amp;" * Ln "&amp;A48&amp;")"</f>
        <v>Net Plant in MICHIGAN JURISDICTION (Ln 25 * Ln 26)</v>
      </c>
      <c r="D49" s="117"/>
      <c r="E49" s="156">
        <f>+E46*E48</f>
        <v>1978335304.5284271</v>
      </c>
      <c r="F49" s="117"/>
      <c r="G49" s="156">
        <f>+G46*G48</f>
        <v>152232243.9412</v>
      </c>
      <c r="H49" s="117"/>
      <c r="I49" s="156">
        <f>+I46*I48</f>
        <v>265960457.01225</v>
      </c>
      <c r="J49" s="117"/>
      <c r="K49" s="156">
        <f>+K46*K48</f>
        <v>18236783.1203565</v>
      </c>
      <c r="L49" s="117"/>
      <c r="M49" s="156">
        <f>SUM(E49:K49)</f>
        <v>2414764788.602234</v>
      </c>
      <c r="O49"/>
    </row>
    <row r="50" spans="1:15" ht="19.5">
      <c r="A50" s="154">
        <f t="shared" si="1"/>
        <v>28</v>
      </c>
      <c r="B50" s="155"/>
      <c r="C50" s="253" t="s">
        <v>227</v>
      </c>
      <c r="D50" s="117"/>
      <c r="E50" s="1388">
        <v>179150025</v>
      </c>
      <c r="F50" s="117"/>
      <c r="G50" s="219"/>
      <c r="H50" s="117"/>
      <c r="I50" s="219"/>
      <c r="J50" s="117"/>
      <c r="K50" s="220"/>
      <c r="L50" s="117"/>
      <c r="M50" s="156"/>
      <c r="O50"/>
    </row>
    <row r="51" spans="1:15" ht="19.5">
      <c r="A51" s="154">
        <f t="shared" si="1"/>
        <v>29</v>
      </c>
      <c r="B51" s="155"/>
      <c r="C51" s="117" t="str">
        <f>"Taxable Property Basis (Ln "&amp;A49&amp;" - Ln "&amp;A50&amp;")"</f>
        <v>Taxable Property Basis (Ln 27 - Ln 28)</v>
      </c>
      <c r="D51" s="117"/>
      <c r="E51" s="156">
        <f>+E49-E50</f>
        <v>1799185279.5284271</v>
      </c>
      <c r="F51" s="117"/>
      <c r="G51" s="156">
        <f>+G49-G50</f>
        <v>152232243.9412</v>
      </c>
      <c r="H51" s="117"/>
      <c r="I51" s="156">
        <f>+I49-I50</f>
        <v>265960457.01225</v>
      </c>
      <c r="J51" s="117"/>
      <c r="K51" s="156">
        <f>+K49-K50</f>
        <v>18236783.1203565</v>
      </c>
      <c r="L51" s="117"/>
      <c r="M51" s="156">
        <f>SUM(E51:K51)</f>
        <v>2235614763.602234</v>
      </c>
      <c r="O51"/>
    </row>
    <row r="52" spans="1:15" ht="19.5">
      <c r="A52" s="154">
        <f t="shared" si="1"/>
        <v>30</v>
      </c>
      <c r="B52" s="155"/>
      <c r="C52" s="158" t="s">
        <v>463</v>
      </c>
      <c r="D52" s="117"/>
      <c r="E52" s="1389">
        <v>1</v>
      </c>
      <c r="F52" s="1238"/>
      <c r="G52" s="1389">
        <v>1</v>
      </c>
      <c r="H52" s="1238"/>
      <c r="I52" s="1389">
        <v>1</v>
      </c>
      <c r="J52" s="1237"/>
      <c r="K52" s="1389">
        <v>1</v>
      </c>
      <c r="L52" s="117"/>
      <c r="M52" s="211">
        <f>SUM(E52:K52)</f>
        <v>4</v>
      </c>
      <c r="O52"/>
    </row>
    <row r="53" spans="1:21" ht="19.5">
      <c r="A53" s="154">
        <f t="shared" si="1"/>
        <v>31</v>
      </c>
      <c r="B53" s="155"/>
      <c r="C53" s="253" t="str">
        <f>"Weighted Net Plant (Ln "&amp;A51&amp;" * Ln "&amp;A52&amp;")"</f>
        <v>Weighted Net Plant (Ln 29 * Ln 30)</v>
      </c>
      <c r="D53" s="117"/>
      <c r="E53" s="156">
        <f>+E51*E52</f>
        <v>1799185279.5284271</v>
      </c>
      <c r="F53" s="117"/>
      <c r="G53" s="156">
        <f>+G51*G52</f>
        <v>152232243.9412</v>
      </c>
      <c r="H53" s="117"/>
      <c r="I53" s="156">
        <f>+I51*I52</f>
        <v>265960457.01225</v>
      </c>
      <c r="J53" s="117"/>
      <c r="K53" s="156">
        <f>+K51*K52</f>
        <v>18236783.1203565</v>
      </c>
      <c r="L53" s="117"/>
      <c r="M53" s="156"/>
      <c r="O53"/>
      <c r="P53"/>
      <c r="Q53"/>
      <c r="R53"/>
      <c r="S53"/>
      <c r="T53"/>
      <c r="U53"/>
    </row>
    <row r="54" spans="1:21" ht="19.5">
      <c r="A54" s="154">
        <f t="shared" si="1"/>
        <v>32</v>
      </c>
      <c r="B54" s="155"/>
      <c r="C54" s="117" t="str">
        <f>+"General Plant Allocator (Ln "&amp;A53&amp;" / (Total - General Plant))"</f>
        <v>General Plant Allocator (Ln 31 / (Total - General Plant))</v>
      </c>
      <c r="D54" s="117"/>
      <c r="E54" s="159">
        <f>IF(E52=0,0,+E53/($E53+$G53+$I53))</f>
        <v>0.8114021584797333</v>
      </c>
      <c r="F54" s="117"/>
      <c r="G54" s="159">
        <f>IF(G52=0,0,+G53/($E53+$G53+$I53))</f>
        <v>0.06865416960085312</v>
      </c>
      <c r="H54" s="117"/>
      <c r="I54" s="159">
        <f>IF(I52=0,0,+I53/($E53+$G53+$I53))</f>
        <v>0.11994367191941352</v>
      </c>
      <c r="J54" s="117"/>
      <c r="K54" s="159">
        <v>-1</v>
      </c>
      <c r="L54" s="117"/>
      <c r="M54" s="117"/>
      <c r="O54"/>
      <c r="P54"/>
      <c r="Q54"/>
      <c r="R54"/>
      <c r="S54"/>
      <c r="T54"/>
      <c r="U54"/>
    </row>
    <row r="55" spans="1:21" ht="19.5">
      <c r="A55" s="154">
        <f t="shared" si="1"/>
        <v>33</v>
      </c>
      <c r="B55" s="155"/>
      <c r="C55" s="117" t="str">
        <f>"Functionalized General Plant (Ln "&amp;A54&amp;" * General Plant)"</f>
        <v>Functionalized General Plant (Ln 32 * General Plant)</v>
      </c>
      <c r="D55" s="117"/>
      <c r="E55" s="160">
        <f>ROUND($K53*E54,0)</f>
        <v>14797365</v>
      </c>
      <c r="F55" s="117"/>
      <c r="G55" s="160">
        <f>+G54*K53</f>
        <v>1252031.2013189306</v>
      </c>
      <c r="H55" s="117"/>
      <c r="I55" s="160">
        <f>ROUND($K53*I54,0)</f>
        <v>2187387</v>
      </c>
      <c r="J55" s="117"/>
      <c r="K55" s="160">
        <f>ROUND($K53*K54,0)</f>
        <v>-18236783</v>
      </c>
      <c r="L55" s="117"/>
      <c r="M55" s="156">
        <f>IF(SUM(E55:K55)&lt;&gt;0,0,0)</f>
        <v>0</v>
      </c>
      <c r="O55"/>
      <c r="P55"/>
      <c r="Q55"/>
      <c r="R55"/>
      <c r="S55"/>
      <c r="T55"/>
      <c r="U55"/>
    </row>
    <row r="56" spans="1:15" ht="19.5">
      <c r="A56" s="154">
        <f>+A55+1</f>
        <v>34</v>
      </c>
      <c r="B56" s="155"/>
      <c r="C56" s="117" t="str">
        <f>"Weighted "&amp;C47&amp;" Plant (Ln "&amp;A53&amp;" + "&amp;A55&amp;")"</f>
        <v>Weighted MICHIGAN JURISDICTION Plant (Ln 31 + 33)</v>
      </c>
      <c r="D56" s="117"/>
      <c r="E56" s="156">
        <f>+E53+E55</f>
        <v>1813982644.5284271</v>
      </c>
      <c r="F56" s="117"/>
      <c r="G56" s="157">
        <f>+G53+G55</f>
        <v>153484275.1425189</v>
      </c>
      <c r="H56" s="117"/>
      <c r="I56" s="156">
        <f>+I53+I55</f>
        <v>268147844.01225</v>
      </c>
      <c r="J56" s="117"/>
      <c r="K56" s="156">
        <f>+K53+K55</f>
        <v>0.1203565001487732</v>
      </c>
      <c r="L56" s="117"/>
      <c r="M56" s="156">
        <f>SUM(E56:K56)-SUM(E55:K55)</f>
        <v>2235614763.602234</v>
      </c>
      <c r="O56"/>
    </row>
    <row r="57" spans="1:15" ht="19.5">
      <c r="A57" s="154">
        <f>+A56+1</f>
        <v>35</v>
      </c>
      <c r="B57" s="155"/>
      <c r="C57" s="117" t="str">
        <f>"Functional Percentage (Ln "&amp;A56&amp;"/Total Ln "&amp;A56&amp;")"</f>
        <v>Functional Percentage (Ln 34/Total Ln 34)</v>
      </c>
      <c r="D57" s="117"/>
      <c r="E57" s="221">
        <f>+E56/M56</f>
        <v>0.8114021583958261</v>
      </c>
      <c r="F57" s="117"/>
      <c r="G57" s="222">
        <f>+G56/M56</f>
        <v>0.06865416960085312</v>
      </c>
      <c r="H57" s="117"/>
      <c r="I57" s="221">
        <f>+I56/M56</f>
        <v>0.11994367203953549</v>
      </c>
      <c r="J57" s="117"/>
      <c r="K57"/>
      <c r="L57" s="117"/>
      <c r="M57" s="156"/>
      <c r="O57"/>
    </row>
    <row r="58" spans="1:15" ht="19.5">
      <c r="A58" s="154"/>
      <c r="B58" s="155"/>
      <c r="C58" s="112" t="s">
        <v>928</v>
      </c>
      <c r="D58" s="117"/>
      <c r="E58" s="156"/>
      <c r="F58" s="117"/>
      <c r="G58" s="156"/>
      <c r="H58" s="117"/>
      <c r="I58" s="156"/>
      <c r="J58" s="117"/>
      <c r="K58" s="157"/>
      <c r="L58" s="117"/>
      <c r="M58" s="156"/>
      <c r="O58"/>
    </row>
    <row r="59" spans="1:15" ht="19.5">
      <c r="A59" s="154">
        <f>+A57+1</f>
        <v>36</v>
      </c>
      <c r="B59" s="155"/>
      <c r="C59" s="117" t="str">
        <f>"Percentage of Plant in "&amp;C58&amp;""</f>
        <v>Percentage of Plant in INDIANA JURISDICTION</v>
      </c>
      <c r="D59" s="117"/>
      <c r="E59" s="1390">
        <v>0.2103</v>
      </c>
      <c r="F59" s="1238"/>
      <c r="G59" s="1390">
        <v>0.8406</v>
      </c>
      <c r="H59" s="1238"/>
      <c r="I59" s="1390">
        <v>0.8083</v>
      </c>
      <c r="J59" s="1237"/>
      <c r="K59" s="1390">
        <v>0.8196</v>
      </c>
      <c r="L59" s="117"/>
      <c r="M59" s="218"/>
      <c r="O59"/>
    </row>
    <row r="60" spans="1:15" ht="19.5">
      <c r="A60" s="154">
        <f aca="true" t="shared" si="2" ref="A60:A67">+A59+1</f>
        <v>37</v>
      </c>
      <c r="B60" s="155"/>
      <c r="C60" s="253" t="str">
        <f>"Net Plant in "&amp;C58&amp;" (Ln "&amp;A46&amp;" * Ln "&amp;A59&amp;")"</f>
        <v>Net Plant in INDIANA JURISDICTION (Ln 25 * Ln 36)</v>
      </c>
      <c r="D60"/>
      <c r="E60" s="156">
        <f>+E59*E46</f>
        <v>526837931.54657245</v>
      </c>
      <c r="F60" s="117"/>
      <c r="G60" s="156">
        <f>+G59*G46</f>
        <v>802800654.0588</v>
      </c>
      <c r="H60" s="117"/>
      <c r="I60" s="156">
        <f>+I59*I46</f>
        <v>1121418035.48775</v>
      </c>
      <c r="J60" s="117"/>
      <c r="K60" s="156">
        <f>+K59*K46</f>
        <v>83084310.424926</v>
      </c>
      <c r="L60" s="117"/>
      <c r="M60" s="156">
        <f>SUM(E60:K60)</f>
        <v>2534140931.5180483</v>
      </c>
      <c r="O60"/>
    </row>
    <row r="61" spans="1:15" ht="19.5">
      <c r="A61" s="154">
        <f t="shared" si="2"/>
        <v>38</v>
      </c>
      <c r="B61" s="155"/>
      <c r="C61" s="253" t="s">
        <v>227</v>
      </c>
      <c r="D61"/>
      <c r="E61" s="1391">
        <v>135326880</v>
      </c>
      <c r="F61" s="117"/>
      <c r="G61" s="219"/>
      <c r="H61" s="117"/>
      <c r="I61" s="219"/>
      <c r="J61" s="117"/>
      <c r="K61" s="220"/>
      <c r="L61" s="117"/>
      <c r="M61" s="156"/>
      <c r="O61"/>
    </row>
    <row r="62" spans="1:15" ht="19.5">
      <c r="A62" s="154">
        <f t="shared" si="2"/>
        <v>39</v>
      </c>
      <c r="B62" s="155"/>
      <c r="C62" s="117" t="str">
        <f>"Taxable Property Basis (Ln "&amp;A60&amp;" - Ln "&amp;A61&amp;")"</f>
        <v>Taxable Property Basis (Ln 37 - Ln 38)</v>
      </c>
      <c r="D62"/>
      <c r="E62" s="156">
        <f>+E60-E61</f>
        <v>391511051.54657245</v>
      </c>
      <c r="F62" s="117"/>
      <c r="G62" s="156">
        <f>+G60-G61</f>
        <v>802800654.0588</v>
      </c>
      <c r="H62" s="117"/>
      <c r="I62" s="156">
        <f>+I60-I61</f>
        <v>1121418035.48775</v>
      </c>
      <c r="J62" s="117"/>
      <c r="K62" s="156">
        <f>+K60-K61</f>
        <v>83084310.424926</v>
      </c>
      <c r="L62" s="117"/>
      <c r="M62" s="156">
        <f>SUM(E62:K62)</f>
        <v>2398814051.5180483</v>
      </c>
      <c r="O62"/>
    </row>
    <row r="63" spans="1:15" ht="19.5">
      <c r="A63" s="154">
        <f t="shared" si="2"/>
        <v>40</v>
      </c>
      <c r="B63" s="155"/>
      <c r="C63" s="158" t="s">
        <v>463</v>
      </c>
      <c r="D63"/>
      <c r="E63" s="1392">
        <v>1</v>
      </c>
      <c r="F63" s="1238"/>
      <c r="G63" s="1392">
        <v>1</v>
      </c>
      <c r="H63" s="1238"/>
      <c r="I63" s="1392">
        <v>1</v>
      </c>
      <c r="J63" s="1237"/>
      <c r="K63" s="1392">
        <v>1</v>
      </c>
      <c r="L63" s="117"/>
      <c r="M63" s="211">
        <f>SUM(E63:K63)</f>
        <v>4</v>
      </c>
      <c r="O63"/>
    </row>
    <row r="64" spans="1:15" ht="19.5">
      <c r="A64" s="154">
        <f t="shared" si="2"/>
        <v>41</v>
      </c>
      <c r="B64" s="155"/>
      <c r="C64" s="253" t="str">
        <f>"Weighted Net Plant (Ln "&amp;A62&amp;" * Ln "&amp;A63&amp;")"</f>
        <v>Weighted Net Plant (Ln 39 * Ln 40)</v>
      </c>
      <c r="D64"/>
      <c r="E64" s="156">
        <f>+E62*E63</f>
        <v>391511051.54657245</v>
      </c>
      <c r="F64" s="117"/>
      <c r="G64" s="156">
        <f>+G62*G63</f>
        <v>802800654.0588</v>
      </c>
      <c r="H64" s="117"/>
      <c r="I64" s="156">
        <f>+I62*I63</f>
        <v>1121418035.48775</v>
      </c>
      <c r="J64" s="117"/>
      <c r="K64" s="156">
        <f>+K62*K63</f>
        <v>83084310.424926</v>
      </c>
      <c r="L64" s="117"/>
      <c r="M64" s="156"/>
      <c r="O64"/>
    </row>
    <row r="65" spans="1:15" ht="19.5">
      <c r="A65" s="154">
        <f t="shared" si="2"/>
        <v>42</v>
      </c>
      <c r="B65" s="155"/>
      <c r="C65" s="117" t="str">
        <f>+"General Plant Allocator (Ln "&amp;A64&amp;" / (Total - General Plant))"</f>
        <v>General Plant Allocator (Ln 41 / (Total - General Plant))</v>
      </c>
      <c r="D65" s="117"/>
      <c r="E65" s="159">
        <f>IF(E63=0,0,+E64/($E64+$G64+$I64))</f>
        <v>0.16906595126327767</v>
      </c>
      <c r="F65" s="117"/>
      <c r="G65" s="159">
        <f>IF(G63=0,0,+G64/($E64+$G64+$I64))</f>
        <v>0.3466728607457639</v>
      </c>
      <c r="H65" s="117"/>
      <c r="I65" s="159">
        <f>IF(I63=0,0,+I64/($E64+$G64+$I64))</f>
        <v>0.4842611879909584</v>
      </c>
      <c r="J65" s="117"/>
      <c r="K65" s="159">
        <v>-1</v>
      </c>
      <c r="L65" s="117"/>
      <c r="M65" s="117"/>
      <c r="O65"/>
    </row>
    <row r="66" spans="1:15" ht="19.5">
      <c r="A66" s="154">
        <f t="shared" si="2"/>
        <v>43</v>
      </c>
      <c r="B66" s="155"/>
      <c r="C66" s="117" t="str">
        <f>"Functionalized General Plant (Ln "&amp;A65&amp;" * General Plant)"</f>
        <v>Functionalized General Plant (Ln 42 * General Plant)</v>
      </c>
      <c r="D66" s="117"/>
      <c r="E66" s="160">
        <f>ROUND($K64*E65,0)</f>
        <v>14046728</v>
      </c>
      <c r="F66" s="117"/>
      <c r="G66" s="160">
        <f>+G65*K64</f>
        <v>28803075.578098193</v>
      </c>
      <c r="H66" s="117"/>
      <c r="I66" s="160">
        <f>ROUND($K64*I65,0)</f>
        <v>40234507</v>
      </c>
      <c r="J66" s="117"/>
      <c r="K66" s="160">
        <f>ROUND($K64*K65,0)</f>
        <v>-83084310</v>
      </c>
      <c r="L66" s="117"/>
      <c r="M66" s="156">
        <f>IF(SUM(E66:K66)&lt;&gt;0,0,0)</f>
        <v>0</v>
      </c>
      <c r="O66"/>
    </row>
    <row r="67" spans="1:15" ht="19.5">
      <c r="A67" s="154">
        <f t="shared" si="2"/>
        <v>44</v>
      </c>
      <c r="B67" s="155"/>
      <c r="C67" s="117" t="str">
        <f>"Weighted "&amp;C58&amp;" Plant (Ln "&amp;A64&amp;" + "&amp;A66&amp;")"</f>
        <v>Weighted INDIANA JURISDICTION Plant (Ln 41 + 43)</v>
      </c>
      <c r="D67" s="117"/>
      <c r="E67" s="156">
        <f>+E64+E66</f>
        <v>405557779.54657245</v>
      </c>
      <c r="F67" s="117"/>
      <c r="G67" s="157">
        <f>+G64+G66</f>
        <v>831603729.6368982</v>
      </c>
      <c r="H67" s="117"/>
      <c r="I67" s="156">
        <f>+I64+I66</f>
        <v>1161652542.48775</v>
      </c>
      <c r="J67" s="117"/>
      <c r="K67" s="156">
        <f>+K64+K66</f>
        <v>0.4249259978532791</v>
      </c>
      <c r="L67" s="117"/>
      <c r="M67" s="156">
        <f>SUM(E67:K67)-SUM(E66:K66)</f>
        <v>2398814051.5180483</v>
      </c>
      <c r="O67"/>
    </row>
    <row r="68" spans="1:15" ht="19.5">
      <c r="A68" s="154">
        <f>+A67+1</f>
        <v>45</v>
      </c>
      <c r="B68" s="155"/>
      <c r="C68" s="117" t="str">
        <f>"Functional Percentage (Ln "&amp;A67&amp;"/Total Ln "&amp;A67&amp;")"</f>
        <v>Functional Percentage (Ln 44/Total Ln 44)</v>
      </c>
      <c r="D68" s="117"/>
      <c r="E68" s="221">
        <f>+E67/M67</f>
        <v>0.1690659512728476</v>
      </c>
      <c r="F68" s="117"/>
      <c r="G68" s="222">
        <f>+G67/M67</f>
        <v>0.3466728607457639</v>
      </c>
      <c r="H68" s="117"/>
      <c r="I68" s="221">
        <f>+I67/M67</f>
        <v>0.4842611880452419</v>
      </c>
      <c r="J68" s="117"/>
      <c r="K68"/>
      <c r="L68" s="117"/>
      <c r="M68" s="156"/>
      <c r="O68"/>
    </row>
    <row r="69" spans="1:15" ht="19.5">
      <c r="A69" s="154"/>
      <c r="B69" s="155"/>
      <c r="C69" s="112" t="s">
        <v>978</v>
      </c>
      <c r="D69" s="117"/>
      <c r="E69" s="304"/>
      <c r="F69" s="305"/>
      <c r="G69" s="306"/>
      <c r="H69" s="305"/>
      <c r="I69" s="304"/>
      <c r="J69" s="305"/>
      <c r="K69" s="302"/>
      <c r="L69" s="117"/>
      <c r="M69" s="156"/>
      <c r="O69"/>
    </row>
    <row r="70" spans="1:15" ht="19.5">
      <c r="A70" s="154">
        <f>+A68+1</f>
        <v>46</v>
      </c>
      <c r="B70" s="155"/>
      <c r="C70" s="117" t="str">
        <f>"Net Plant in "&amp;C69&amp;" (Ln "&amp;A46&amp;" - Ln "&amp;A49&amp;" - Ln "&amp;A60&amp;")"</f>
        <v>Net Plant in OTHER JURISDICTION (Ln 25 - Ln 27 - Ln 37)</v>
      </c>
      <c r="D70" s="117"/>
      <c r="E70" s="304">
        <f>+E46-E49-E60</f>
        <v>0</v>
      </c>
      <c r="F70" s="305"/>
      <c r="G70" s="304">
        <f>+G46-G49-G60</f>
        <v>0</v>
      </c>
      <c r="H70" s="305"/>
      <c r="I70" s="304">
        <f>+I46-I49-I60</f>
        <v>0</v>
      </c>
      <c r="J70" s="305"/>
      <c r="K70" s="304">
        <f>+K46-K49-K60</f>
        <v>50685.88971750438</v>
      </c>
      <c r="L70" s="117"/>
      <c r="M70" s="156">
        <f>SUM(E70:K70)</f>
        <v>50685.88971750438</v>
      </c>
      <c r="O70"/>
    </row>
    <row r="71" spans="1:15" ht="19.5">
      <c r="A71" s="154">
        <f aca="true" t="shared" si="3" ref="A71:A77">+A70+1</f>
        <v>47</v>
      </c>
      <c r="B71" s="155"/>
      <c r="C71" s="117" t="s">
        <v>601</v>
      </c>
      <c r="D71" s="117"/>
      <c r="E71" s="846"/>
      <c r="F71" s="305"/>
      <c r="G71" s="307"/>
      <c r="H71" s="305"/>
      <c r="I71" s="307"/>
      <c r="J71" s="305"/>
      <c r="K71" s="308"/>
      <c r="L71" s="117"/>
      <c r="M71" s="156"/>
      <c r="O71"/>
    </row>
    <row r="72" spans="1:15" ht="19.5">
      <c r="A72" s="154">
        <f t="shared" si="3"/>
        <v>48</v>
      </c>
      <c r="B72" s="155"/>
      <c r="C72" s="117" t="s">
        <v>602</v>
      </c>
      <c r="D72" s="117"/>
      <c r="E72" s="304">
        <f>+E70-E71</f>
        <v>0</v>
      </c>
      <c r="F72" s="305"/>
      <c r="G72" s="304">
        <f>+G70-G71</f>
        <v>0</v>
      </c>
      <c r="H72" s="305"/>
      <c r="I72" s="304">
        <f>+I70-I71</f>
        <v>0</v>
      </c>
      <c r="J72" s="305"/>
      <c r="K72" s="304">
        <f>+K70-K71</f>
        <v>50685.88971750438</v>
      </c>
      <c r="L72" s="117"/>
      <c r="M72" s="156">
        <f>SUM(E72:K72)</f>
        <v>50685.88971750438</v>
      </c>
      <c r="O72"/>
    </row>
    <row r="73" spans="1:15" ht="19.5">
      <c r="A73" s="154">
        <f t="shared" si="3"/>
        <v>49</v>
      </c>
      <c r="B73" s="155"/>
      <c r="C73" s="158" t="s">
        <v>463</v>
      </c>
      <c r="D73" s="117"/>
      <c r="E73" s="1239"/>
      <c r="F73" s="1238"/>
      <c r="G73" s="1239"/>
      <c r="H73" s="1238"/>
      <c r="I73" s="1239"/>
      <c r="J73" s="1237"/>
      <c r="K73" s="1239"/>
      <c r="L73" s="117"/>
      <c r="M73" s="156"/>
      <c r="O73"/>
    </row>
    <row r="74" spans="1:15" ht="19.5">
      <c r="A74" s="154">
        <f t="shared" si="3"/>
        <v>50</v>
      </c>
      <c r="B74" s="155"/>
      <c r="C74" s="117" t="str">
        <f>"Weighted Net Plant (Ln "&amp;A72&amp;" * Ln "&amp;A73&amp;")"</f>
        <v>Weighted Net Plant (Ln 48 * Ln 49)</v>
      </c>
      <c r="D74" s="117"/>
      <c r="E74" s="304">
        <f>+E72*E73</f>
        <v>0</v>
      </c>
      <c r="F74" s="305"/>
      <c r="G74" s="304">
        <f>+G72*G73</f>
        <v>0</v>
      </c>
      <c r="H74" s="305"/>
      <c r="I74" s="304">
        <f>+I72*I73</f>
        <v>0</v>
      </c>
      <c r="J74" s="305"/>
      <c r="K74" s="304">
        <f>+K72*K73</f>
        <v>0</v>
      </c>
      <c r="L74" s="117"/>
      <c r="M74" s="156"/>
      <c r="O74"/>
    </row>
    <row r="75" spans="1:15" ht="19.5">
      <c r="A75" s="154">
        <f t="shared" si="3"/>
        <v>51</v>
      </c>
      <c r="B75" s="155"/>
      <c r="C75" s="117" t="str">
        <f>+"General Plant Allocator (Ln "&amp;A74&amp;" / (Total - General Plant)"</f>
        <v>General Plant Allocator (Ln 50 / (Total - General Plant)</v>
      </c>
      <c r="D75" s="117"/>
      <c r="E75" s="309">
        <f>IF(E73=0,0,+E74/($E74+$G74+$I74))</f>
        <v>0</v>
      </c>
      <c r="F75" s="305"/>
      <c r="G75" s="309">
        <f>IF(G73=0,0,+G74/($E74+$G74+$I74))</f>
        <v>0</v>
      </c>
      <c r="H75" s="305"/>
      <c r="I75" s="309">
        <f>IF(I73=0,0,+I74/($E74+$G74+$I74))</f>
        <v>0</v>
      </c>
      <c r="J75" s="305"/>
      <c r="K75" s="309">
        <v>-1</v>
      </c>
      <c r="L75" s="117"/>
      <c r="M75" s="156"/>
      <c r="O75"/>
    </row>
    <row r="76" spans="1:15" ht="19.5">
      <c r="A76" s="154">
        <f t="shared" si="3"/>
        <v>52</v>
      </c>
      <c r="B76" s="155"/>
      <c r="C76" s="117" t="str">
        <f>"Functionalized General Plant (Ln "&amp;A76&amp;" * General Plant)"</f>
        <v>Functionalized General Plant (Ln 52 * General Plant)</v>
      </c>
      <c r="D76" s="117"/>
      <c r="E76" s="310">
        <f>ROUND($K74*E75,0)</f>
        <v>0</v>
      </c>
      <c r="F76" s="305"/>
      <c r="G76" s="310">
        <f>ROUND($K74*G75,0)</f>
        <v>0</v>
      </c>
      <c r="H76" s="305"/>
      <c r="I76" s="310">
        <f>ROUND($K74*I75,0)</f>
        <v>0</v>
      </c>
      <c r="J76" s="305"/>
      <c r="K76" s="310">
        <f>ROUND($K74*K75,0)</f>
        <v>0</v>
      </c>
      <c r="L76" s="117"/>
      <c r="M76" s="156"/>
      <c r="O76"/>
    </row>
    <row r="77" spans="1:15" ht="19.5">
      <c r="A77" s="154">
        <f t="shared" si="3"/>
        <v>53</v>
      </c>
      <c r="B77" s="155"/>
      <c r="C77" s="117" t="str">
        <f>"Weighted "&amp;C69&amp;" Plant (Ln "&amp;A74&amp;" + "&amp;A76&amp;")"</f>
        <v>Weighted OTHER JURISDICTION Plant (Ln 50 + 52)</v>
      </c>
      <c r="D77" s="117"/>
      <c r="E77" s="304">
        <f>+E74+E76</f>
        <v>0</v>
      </c>
      <c r="F77" s="305"/>
      <c r="G77" s="311">
        <f>+G74+G76</f>
        <v>0</v>
      </c>
      <c r="H77" s="305"/>
      <c r="I77" s="304">
        <f>+I74+I76</f>
        <v>0</v>
      </c>
      <c r="J77" s="305"/>
      <c r="K77" s="304">
        <f>+K74+K76</f>
        <v>0</v>
      </c>
      <c r="L77" s="117"/>
      <c r="M77" s="156">
        <f>SUM(E77:K77)-SUM(E76:K76)</f>
        <v>0</v>
      </c>
      <c r="O77"/>
    </row>
    <row r="78" spans="1:15" ht="19.5">
      <c r="A78" s="154">
        <f>+A77+1</f>
        <v>54</v>
      </c>
      <c r="B78" s="155"/>
      <c r="C78" s="117" t="str">
        <f>"Functional Percentage (Ln "&amp;A77&amp;"/Total Ln "&amp;A77&amp;")"</f>
        <v>Functional Percentage (Ln 53/Total Ln 53)</v>
      </c>
      <c r="D78" s="117"/>
      <c r="E78" s="302" t="e">
        <f>+E77/M77</f>
        <v>#DIV/0!</v>
      </c>
      <c r="F78" s="305"/>
      <c r="G78" s="306" t="e">
        <f>+G77/M77</f>
        <v>#DIV/0!</v>
      </c>
      <c r="H78" s="305"/>
      <c r="I78" s="302" t="e">
        <f>+I77/M77</f>
        <v>#DIV/0!</v>
      </c>
      <c r="J78" s="298"/>
      <c r="K78" s="298"/>
      <c r="L78" s="117"/>
      <c r="M78" s="156"/>
      <c r="O78"/>
    </row>
    <row r="79" spans="1:15" ht="19.5">
      <c r="A79" s="154"/>
      <c r="B79" s="155"/>
      <c r="C79" s="117"/>
      <c r="D79" s="117"/>
      <c r="E79" s="217"/>
      <c r="F79" s="117"/>
      <c r="G79" s="217"/>
      <c r="H79" s="117"/>
      <c r="I79" s="217"/>
      <c r="J79" s="117"/>
      <c r="K79"/>
      <c r="L79" s="117"/>
      <c r="M79" s="157"/>
      <c r="O79"/>
    </row>
    <row r="80" spans="1:15" ht="19.5">
      <c r="A80" s="154"/>
      <c r="B80" s="155"/>
      <c r="C80" s="117"/>
      <c r="D80" s="117"/>
      <c r="E80" s="158"/>
      <c r="F80" s="158"/>
      <c r="G80" s="158"/>
      <c r="H80" s="158"/>
      <c r="I80" s="158"/>
      <c r="J80" s="117"/>
      <c r="K80" s="217"/>
      <c r="L80" s="117"/>
      <c r="M80" s="158"/>
      <c r="O80"/>
    </row>
    <row r="81" spans="1:15" ht="19.5">
      <c r="A81" s="154"/>
      <c r="B81" s="155"/>
      <c r="C81" s="117"/>
      <c r="D81" s="117"/>
      <c r="E81" s="104"/>
      <c r="F81" s="305"/>
      <c r="G81" s="302"/>
      <c r="H81" s="305"/>
      <c r="I81" s="304"/>
      <c r="J81" s="305"/>
      <c r="K81" s="304"/>
      <c r="L81" s="117"/>
      <c r="M81" s="156"/>
      <c r="O81"/>
    </row>
    <row r="82" ht="12.75">
      <c r="O82"/>
    </row>
    <row r="83" spans="7:15" ht="12.75">
      <c r="G83" s="225"/>
      <c r="O83"/>
    </row>
  </sheetData>
  <sheetProtection/>
  <mergeCells count="7">
    <mergeCell ref="A6:M6"/>
    <mergeCell ref="A5:M5"/>
    <mergeCell ref="C44:M44"/>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1499900072813034"/>
  </sheetPr>
  <dimension ref="A1:T150"/>
  <sheetViews>
    <sheetView view="pageBreakPreview" zoomScale="70" zoomScaleNormal="70" zoomScaleSheetLayoutView="70" zoomScalePageLayoutView="0" workbookViewId="0" topLeftCell="B103">
      <selection activeCell="G122" sqref="G122"/>
    </sheetView>
  </sheetViews>
  <sheetFormatPr defaultColWidth="9.140625" defaultRowHeight="12.75"/>
  <cols>
    <col min="1" max="1" width="7.28125" style="118" customWidth="1"/>
    <col min="2" max="2" width="1.7109375" style="119" customWidth="1"/>
    <col min="3" max="3" width="68.57421875" style="119" customWidth="1"/>
    <col min="4" max="4" width="19.140625" style="119" customWidth="1"/>
    <col min="5" max="5" width="20.421875" style="113" customWidth="1"/>
    <col min="6" max="6" width="20.421875" style="104" bestFit="1" customWidth="1"/>
    <col min="7" max="7" width="40.28125" style="104" bestFit="1" customWidth="1"/>
    <col min="8" max="8" width="13.00390625" style="104" bestFit="1" customWidth="1"/>
    <col min="9" max="9" width="34.00390625" style="104" customWidth="1"/>
    <col min="10" max="16384" width="9.140625" style="104" customWidth="1"/>
  </cols>
  <sheetData>
    <row r="1" spans="1:6" ht="18.75" customHeight="1">
      <c r="A1" s="1480" t="s">
        <v>389</v>
      </c>
      <c r="B1" s="1480"/>
      <c r="C1" s="1480"/>
      <c r="D1" s="1480"/>
      <c r="E1" s="1480"/>
      <c r="F1" s="1480"/>
    </row>
    <row r="2" spans="1:6" ht="18.75" customHeight="1">
      <c r="A2" s="1481" t="str">
        <f>"Cost of Service Formula Rate Using Actual/Projected FF1 Balances"</f>
        <v>Cost of Service Formula Rate Using Actual/Projected FF1 Balances</v>
      </c>
      <c r="B2" s="1481"/>
      <c r="C2" s="1481"/>
      <c r="D2" s="1481"/>
      <c r="E2" s="1481"/>
      <c r="F2" s="1481"/>
    </row>
    <row r="3" spans="1:6" ht="18.75" customHeight="1">
      <c r="A3" s="1481" t="s">
        <v>219</v>
      </c>
      <c r="B3" s="1481"/>
      <c r="C3" s="1481"/>
      <c r="D3" s="1481"/>
      <c r="E3" s="1481"/>
      <c r="F3" s="1481"/>
    </row>
    <row r="4" spans="1:6" ht="18" customHeight="1">
      <c r="A4" s="1488" t="str">
        <f>'I&amp;M TCOS'!F7</f>
        <v>INDIANA MICHIGAN POWER COMPANY</v>
      </c>
      <c r="B4" s="1481"/>
      <c r="C4" s="1481"/>
      <c r="D4" s="1481"/>
      <c r="E4" s="1481"/>
      <c r="F4" s="1481"/>
    </row>
    <row r="5" spans="1:6" ht="18" customHeight="1">
      <c r="A5" s="1492"/>
      <c r="B5" s="1492"/>
      <c r="C5" s="1492"/>
      <c r="D5" s="1492"/>
      <c r="E5" s="1492"/>
      <c r="F5" s="1492"/>
    </row>
    <row r="6" spans="1:7" ht="19.5" customHeight="1">
      <c r="A6" s="106"/>
      <c r="B6" s="107"/>
      <c r="C6" s="37" t="s">
        <v>164</v>
      </c>
      <c r="E6" s="37" t="s">
        <v>165</v>
      </c>
      <c r="F6" s="263" t="s">
        <v>166</v>
      </c>
      <c r="G6" s="263" t="s">
        <v>167</v>
      </c>
    </row>
    <row r="7" spans="1:20" ht="18">
      <c r="A7" s="203"/>
      <c r="B7" s="204"/>
      <c r="C7" s="204"/>
      <c r="D7" s="204"/>
      <c r="E7"/>
      <c r="F7" s="16"/>
      <c r="G7" s="264"/>
      <c r="H7" s="40"/>
      <c r="I7" s="40"/>
      <c r="J7" s="40"/>
      <c r="K7" s="40"/>
      <c r="L7" s="40"/>
      <c r="M7" s="40"/>
      <c r="N7" s="40"/>
      <c r="O7" s="40"/>
      <c r="P7" s="40"/>
      <c r="Q7" s="40"/>
      <c r="R7" s="40"/>
      <c r="S7" s="40"/>
      <c r="T7" s="40"/>
    </row>
    <row r="8" spans="1:7" ht="18">
      <c r="A8" s="203" t="s">
        <v>171</v>
      </c>
      <c r="B8" s="204"/>
      <c r="C8" s="204"/>
      <c r="D8" s="204"/>
      <c r="E8" s="205" t="s">
        <v>120</v>
      </c>
      <c r="F8" s="265" t="s">
        <v>77</v>
      </c>
      <c r="G8" s="266"/>
    </row>
    <row r="9" spans="1:9" ht="18">
      <c r="A9" s="207" t="s">
        <v>119</v>
      </c>
      <c r="B9" s="267"/>
      <c r="C9" s="207" t="s">
        <v>30</v>
      </c>
      <c r="D9" s="1093"/>
      <c r="E9" s="208" t="s">
        <v>185</v>
      </c>
      <c r="F9" s="207" t="s">
        <v>78</v>
      </c>
      <c r="G9" s="208" t="s">
        <v>79</v>
      </c>
      <c r="H9" s="1093"/>
      <c r="I9" s="1093"/>
    </row>
    <row r="10" spans="1:9" ht="18">
      <c r="A10" s="108"/>
      <c r="B10" s="107"/>
      <c r="C10" s="103"/>
      <c r="D10" s="103"/>
      <c r="E10" s="103"/>
      <c r="F10" s="265"/>
      <c r="G10" s="268"/>
      <c r="H10" s="269"/>
      <c r="I10" s="1094"/>
    </row>
    <row r="11" spans="1:6" ht="18">
      <c r="A11" s="106"/>
      <c r="B11" s="107"/>
      <c r="C11" s="107"/>
      <c r="D11" s="107"/>
      <c r="E11" s="109"/>
      <c r="F11" s="103"/>
    </row>
    <row r="12" spans="1:6" ht="19.5">
      <c r="A12" s="106">
        <v>1</v>
      </c>
      <c r="B12" s="107"/>
      <c r="C12" s="110" t="s">
        <v>325</v>
      </c>
      <c r="D12" s="107"/>
      <c r="E12" s="117"/>
      <c r="F12" s="105"/>
    </row>
    <row r="13" spans="1:8" ht="19.5">
      <c r="A13" s="106">
        <f>+A12+1</f>
        <v>2</v>
      </c>
      <c r="B13" s="107"/>
      <c r="C13" s="102" t="s">
        <v>309</v>
      </c>
      <c r="D13"/>
      <c r="E13" s="277">
        <f>SUM(F14:F18)</f>
        <v>17353149</v>
      </c>
      <c r="F13" s="117"/>
      <c r="G13" s="269"/>
      <c r="H13" s="269"/>
    </row>
    <row r="14" spans="1:8" ht="19.5">
      <c r="A14" s="106"/>
      <c r="B14" s="107"/>
      <c r="C14" s="112"/>
      <c r="D14"/>
      <c r="E14" s="276"/>
      <c r="F14" s="1393">
        <v>-49083</v>
      </c>
      <c r="G14" s="1394" t="s">
        <v>929</v>
      </c>
      <c r="H14" s="269"/>
    </row>
    <row r="15" spans="1:8" ht="19.5">
      <c r="A15" s="106"/>
      <c r="B15" s="107"/>
      <c r="C15" s="112"/>
      <c r="D15"/>
      <c r="E15" s="276"/>
      <c r="F15" s="1393">
        <v>18501000</v>
      </c>
      <c r="G15" s="1394" t="s">
        <v>930</v>
      </c>
      <c r="H15" s="269"/>
    </row>
    <row r="16" spans="1:8" ht="19.5">
      <c r="A16" s="106"/>
      <c r="B16" s="107"/>
      <c r="C16" s="112"/>
      <c r="D16"/>
      <c r="E16" s="276"/>
      <c r="F16" s="1393">
        <v>-44875</v>
      </c>
      <c r="G16" s="1394" t="s">
        <v>931</v>
      </c>
      <c r="H16" s="269"/>
    </row>
    <row r="17" spans="1:8" ht="18" customHeight="1">
      <c r="A17" s="106"/>
      <c r="B17" s="107"/>
      <c r="C17" s="112"/>
      <c r="D17"/>
      <c r="E17" s="276"/>
      <c r="F17" s="1393">
        <v>50591</v>
      </c>
      <c r="G17" s="1394" t="s">
        <v>932</v>
      </c>
      <c r="H17" s="269"/>
    </row>
    <row r="18" spans="1:8" ht="18" customHeight="1">
      <c r="A18" s="106"/>
      <c r="B18" s="107"/>
      <c r="C18" s="112"/>
      <c r="D18"/>
      <c r="E18" s="276"/>
      <c r="F18" s="1393">
        <v>-1104484</v>
      </c>
      <c r="G18" s="1394" t="s">
        <v>878</v>
      </c>
      <c r="H18" s="269"/>
    </row>
    <row r="19" spans="1:8" ht="18" customHeight="1">
      <c r="A19" s="106"/>
      <c r="B19" s="107"/>
      <c r="C19" s="112"/>
      <c r="D19"/>
      <c r="E19" s="276"/>
      <c r="F19" s="890"/>
      <c r="G19" s="891"/>
      <c r="H19" s="269"/>
    </row>
    <row r="20" spans="1:9" ht="18" customHeight="1">
      <c r="A20" s="106"/>
      <c r="B20" s="107"/>
      <c r="C20" s="37" t="s">
        <v>164</v>
      </c>
      <c r="D20" s="37" t="s">
        <v>165</v>
      </c>
      <c r="E20" s="263" t="s">
        <v>166</v>
      </c>
      <c r="F20" s="263" t="s">
        <v>167</v>
      </c>
      <c r="G20" s="263" t="s">
        <v>85</v>
      </c>
      <c r="H20" s="1128" t="s">
        <v>86</v>
      </c>
      <c r="I20" s="263" t="s">
        <v>87</v>
      </c>
    </row>
    <row r="21" spans="1:9" ht="58.5" customHeight="1">
      <c r="A21" s="207"/>
      <c r="B21" s="267"/>
      <c r="C21" s="1129" t="s">
        <v>745</v>
      </c>
      <c r="D21" s="1130" t="s">
        <v>663</v>
      </c>
      <c r="E21" s="1131" t="s">
        <v>743</v>
      </c>
      <c r="F21" s="1132" t="s">
        <v>744</v>
      </c>
      <c r="G21" s="1133" t="s">
        <v>79</v>
      </c>
      <c r="H21" s="1131" t="s">
        <v>764</v>
      </c>
      <c r="I21" s="1132" t="s">
        <v>742</v>
      </c>
    </row>
    <row r="22" spans="1:9" ht="19.5">
      <c r="A22" s="106"/>
      <c r="B22" s="107"/>
      <c r="C22" s="303"/>
      <c r="D22" s="5"/>
      <c r="E22" s="276"/>
      <c r="F22" s="277"/>
      <c r="G22" s="1079"/>
      <c r="H22" s="269"/>
      <c r="I22" s="269"/>
    </row>
    <row r="23" spans="1:9" ht="39">
      <c r="A23" s="1077">
        <f>+A13+1</f>
        <v>3</v>
      </c>
      <c r="B23" s="1078"/>
      <c r="C23" s="1127" t="s">
        <v>741</v>
      </c>
      <c r="D23" s="1134"/>
      <c r="E23" s="1135">
        <f>E25+E35+E46+E52</f>
        <v>57060090</v>
      </c>
      <c r="F23" s="1136"/>
      <c r="G23" s="1095"/>
      <c r="H23" s="1137"/>
      <c r="I23" s="1135">
        <f>I25+I35+I46+I52</f>
        <v>9198885.950530963</v>
      </c>
    </row>
    <row r="24" spans="1:9" ht="19.5">
      <c r="A24" s="106"/>
      <c r="B24" s="107"/>
      <c r="C24" s="110"/>
      <c r="D24"/>
      <c r="E24" s="276"/>
      <c r="F24" s="271"/>
      <c r="G24" s="1079"/>
      <c r="H24" s="1080"/>
      <c r="I24" s="1081"/>
    </row>
    <row r="25" spans="1:9" ht="19.5">
      <c r="A25" s="106">
        <f>+A23+1</f>
        <v>4</v>
      </c>
      <c r="B25" s="107"/>
      <c r="C25" s="1082" t="s">
        <v>933</v>
      </c>
      <c r="D25"/>
      <c r="E25" s="277">
        <f>SUM(F26:F34)</f>
        <v>38901226</v>
      </c>
      <c r="F25" s="271"/>
      <c r="G25" s="270"/>
      <c r="H25" s="272"/>
      <c r="I25" s="1076">
        <f>SUM(I26:I34)</f>
        <v>2900131.3348435597</v>
      </c>
    </row>
    <row r="26" spans="1:9" ht="19.5">
      <c r="A26" s="106"/>
      <c r="B26" s="107"/>
      <c r="C26" s="1082"/>
      <c r="D26" s="1434">
        <v>2012</v>
      </c>
      <c r="E26" s="277"/>
      <c r="F26" s="1395">
        <v>142470</v>
      </c>
      <c r="G26" s="1396" t="s">
        <v>877</v>
      </c>
      <c r="H26" s="1074">
        <v>0.11522951324736584</v>
      </c>
      <c r="I26" s="1142">
        <f aca="true" t="shared" si="0" ref="I26:I32">+F26*H26</f>
        <v>16416.74875235221</v>
      </c>
    </row>
    <row r="27" spans="1:9" ht="19.5">
      <c r="A27" s="106"/>
      <c r="B27" s="107"/>
      <c r="C27" s="1082"/>
      <c r="D27" s="1434">
        <v>2013</v>
      </c>
      <c r="E27" s="277"/>
      <c r="F27" s="1395">
        <v>145874</v>
      </c>
      <c r="G27" s="1396" t="s">
        <v>934</v>
      </c>
      <c r="H27" s="1074">
        <v>0.10779929001777093</v>
      </c>
      <c r="I27" s="1142">
        <f t="shared" si="0"/>
        <v>15725.113632052316</v>
      </c>
    </row>
    <row r="28" spans="1:9" ht="19.5">
      <c r="A28" s="106"/>
      <c r="B28" s="107"/>
      <c r="C28" s="1082"/>
      <c r="D28" s="1434">
        <v>2014</v>
      </c>
      <c r="E28" s="277"/>
      <c r="F28" s="1395">
        <v>-276251</v>
      </c>
      <c r="G28" s="1396" t="s">
        <v>935</v>
      </c>
      <c r="H28" s="1074">
        <v>0.10265988195548026</v>
      </c>
      <c r="I28" s="1142">
        <f t="shared" si="0"/>
        <v>-28359.895050083378</v>
      </c>
    </row>
    <row r="29" spans="1:9" ht="19.5">
      <c r="A29" s="106"/>
      <c r="B29" s="107"/>
      <c r="C29" s="1082"/>
      <c r="D29" s="1434">
        <v>2015</v>
      </c>
      <c r="E29" s="277"/>
      <c r="F29" s="1395">
        <v>-52424</v>
      </c>
      <c r="G29" s="1396" t="s">
        <v>936</v>
      </c>
      <c r="H29" s="1074">
        <v>0.08235776731491516</v>
      </c>
      <c r="I29" s="1142">
        <f t="shared" si="0"/>
        <v>-4317.523593717113</v>
      </c>
    </row>
    <row r="30" spans="1:9" ht="19.5">
      <c r="A30" s="106"/>
      <c r="B30" s="107"/>
      <c r="C30" s="1082"/>
      <c r="D30" s="1434">
        <v>2016</v>
      </c>
      <c r="E30" s="277"/>
      <c r="F30" s="1395">
        <v>38711743</v>
      </c>
      <c r="G30" s="1396" t="s">
        <v>937</v>
      </c>
      <c r="H30" s="1074">
        <v>0.07449296968889497</v>
      </c>
      <c r="I30" s="1142">
        <f t="shared" si="0"/>
        <v>2883752.6979032923</v>
      </c>
    </row>
    <row r="31" spans="1:9" ht="19.5">
      <c r="A31" s="106"/>
      <c r="B31" s="107"/>
      <c r="C31" s="1082"/>
      <c r="D31" s="1434">
        <v>2015</v>
      </c>
      <c r="E31" s="277"/>
      <c r="F31" s="1395">
        <v>-15637</v>
      </c>
      <c r="G31" s="1396" t="s">
        <v>938</v>
      </c>
      <c r="H31" s="1074">
        <v>0.08235776731491516</v>
      </c>
      <c r="I31" s="1142">
        <f t="shared" si="0"/>
        <v>-1287.8284075033284</v>
      </c>
    </row>
    <row r="32" spans="1:9" ht="19.5">
      <c r="A32" s="106"/>
      <c r="B32" s="107"/>
      <c r="C32" s="1082"/>
      <c r="D32" s="1434">
        <v>2016</v>
      </c>
      <c r="E32" s="277"/>
      <c r="F32" s="1395">
        <v>54922</v>
      </c>
      <c r="G32" s="1396" t="s">
        <v>874</v>
      </c>
      <c r="H32" s="1074">
        <v>0.07449296968889497</v>
      </c>
      <c r="I32" s="1142">
        <f t="shared" si="0"/>
        <v>4091.30288125349</v>
      </c>
    </row>
    <row r="33" spans="1:9" ht="19.5">
      <c r="A33" s="106"/>
      <c r="B33" s="107"/>
      <c r="C33" s="1082"/>
      <c r="D33" s="1434">
        <v>2015</v>
      </c>
      <c r="E33" s="277"/>
      <c r="F33" s="1395">
        <v>-10471</v>
      </c>
      <c r="G33" s="1396" t="s">
        <v>939</v>
      </c>
      <c r="H33" s="1074">
        <v>0.08235776731491516</v>
      </c>
      <c r="I33" s="1142">
        <f aca="true" t="shared" si="1" ref="I33:I44">F33*H33</f>
        <v>-862.3681815544767</v>
      </c>
    </row>
    <row r="34" spans="1:9" ht="19.5">
      <c r="A34" s="106"/>
      <c r="B34" s="107"/>
      <c r="C34" s="1082"/>
      <c r="D34" s="1434">
        <v>2016</v>
      </c>
      <c r="E34" s="277"/>
      <c r="F34" s="1395">
        <v>201000</v>
      </c>
      <c r="G34" s="1396" t="s">
        <v>940</v>
      </c>
      <c r="H34" s="1074">
        <v>0.07449296968889497</v>
      </c>
      <c r="I34" s="1142">
        <f t="shared" si="1"/>
        <v>14973.08690746789</v>
      </c>
    </row>
    <row r="35" spans="1:9" ht="19.5">
      <c r="A35" s="106">
        <f>+A25+1</f>
        <v>5</v>
      </c>
      <c r="B35" s="107"/>
      <c r="C35" s="1082" t="s">
        <v>941</v>
      </c>
      <c r="D35"/>
      <c r="E35" s="277">
        <f>SUM(F36:F42)</f>
        <v>18152310</v>
      </c>
      <c r="F35" s="158"/>
      <c r="G35" s="270"/>
      <c r="H35" s="269"/>
      <c r="I35" s="1142">
        <f>SUM(I36:I44)</f>
        <v>6297526.179405371</v>
      </c>
    </row>
    <row r="36" spans="1:9" ht="19.5">
      <c r="A36" s="106"/>
      <c r="B36" s="107"/>
      <c r="C36" s="1082"/>
      <c r="D36" s="1434">
        <v>2015</v>
      </c>
      <c r="E36" s="277"/>
      <c r="F36" s="1397">
        <v>-60504</v>
      </c>
      <c r="G36" s="1398" t="s">
        <v>942</v>
      </c>
      <c r="H36" s="1075">
        <v>0.35416156480924055</v>
      </c>
      <c r="I36" s="1142">
        <f>F36*H36</f>
        <v>-21428.19131721829</v>
      </c>
    </row>
    <row r="37" spans="1:9" ht="19.5">
      <c r="A37" s="106"/>
      <c r="B37" s="107"/>
      <c r="C37" s="1082"/>
      <c r="D37" s="1434">
        <v>2016</v>
      </c>
      <c r="E37" s="277"/>
      <c r="F37" s="1397">
        <v>238133</v>
      </c>
      <c r="G37" s="1398" t="s">
        <v>943</v>
      </c>
      <c r="H37" s="1075">
        <v>0.36381884795944264</v>
      </c>
      <c r="I37" s="1142">
        <f t="shared" si="1"/>
        <v>86637.27372112595</v>
      </c>
    </row>
    <row r="38" spans="1:9" ht="19.5">
      <c r="A38" s="106"/>
      <c r="B38" s="107"/>
      <c r="C38" s="1082"/>
      <c r="D38" s="1434">
        <v>2017</v>
      </c>
      <c r="E38" s="277"/>
      <c r="F38" s="1397">
        <v>17333699</v>
      </c>
      <c r="G38" s="1398" t="s">
        <v>944</v>
      </c>
      <c r="H38" s="1075">
        <f>'WS H Other Taxes'!G68</f>
        <v>0.3466728607457639</v>
      </c>
      <c r="I38" s="1142">
        <f t="shared" si="1"/>
        <v>6009123.0196359875</v>
      </c>
    </row>
    <row r="39" spans="1:9" ht="19.5">
      <c r="A39" s="106"/>
      <c r="B39" s="107"/>
      <c r="C39" s="1082"/>
      <c r="D39" s="1434">
        <v>2016</v>
      </c>
      <c r="E39" s="277"/>
      <c r="F39" s="1397">
        <v>57332</v>
      </c>
      <c r="G39" s="1398" t="s">
        <v>945</v>
      </c>
      <c r="H39" s="1075">
        <v>0.36381884795944264</v>
      </c>
      <c r="I39" s="1142">
        <f t="shared" si="1"/>
        <v>20858.462191210765</v>
      </c>
    </row>
    <row r="40" spans="1:9" ht="19.5">
      <c r="A40" s="106"/>
      <c r="B40" s="107"/>
      <c r="C40" s="1082"/>
      <c r="D40" s="1434">
        <v>2017</v>
      </c>
      <c r="E40" s="277"/>
      <c r="F40" s="1397">
        <v>583650</v>
      </c>
      <c r="G40" s="1398" t="s">
        <v>946</v>
      </c>
      <c r="H40" s="1075">
        <f>'WS H Other Taxes'!G68</f>
        <v>0.3466728607457639</v>
      </c>
      <c r="I40" s="1142">
        <f t="shared" si="1"/>
        <v>202335.6151742651</v>
      </c>
    </row>
    <row r="41" spans="1:9" ht="19.5">
      <c r="A41" s="106"/>
      <c r="B41" s="107"/>
      <c r="C41" s="1082"/>
      <c r="D41" s="847"/>
      <c r="E41" s="277"/>
      <c r="F41" s="1240"/>
      <c r="G41" s="1241"/>
      <c r="H41" s="848"/>
      <c r="I41" s="1142">
        <f t="shared" si="1"/>
        <v>0</v>
      </c>
    </row>
    <row r="42" spans="1:9" ht="19.5">
      <c r="A42" s="106"/>
      <c r="B42" s="107"/>
      <c r="C42" s="1082"/>
      <c r="D42" s="847"/>
      <c r="E42" s="277"/>
      <c r="F42" s="1240"/>
      <c r="G42" s="1241"/>
      <c r="H42" s="848"/>
      <c r="I42" s="1142">
        <f t="shared" si="1"/>
        <v>0</v>
      </c>
    </row>
    <row r="43" spans="1:9" ht="19.5">
      <c r="A43" s="106"/>
      <c r="B43" s="107"/>
      <c r="C43" s="1082"/>
      <c r="D43" s="847"/>
      <c r="E43" s="277"/>
      <c r="F43" s="1240"/>
      <c r="G43" s="1241"/>
      <c r="H43" s="848"/>
      <c r="I43" s="1142">
        <f t="shared" si="1"/>
        <v>0</v>
      </c>
    </row>
    <row r="44" spans="1:9" ht="19.5">
      <c r="A44" s="106"/>
      <c r="B44" s="107"/>
      <c r="C44" s="1082"/>
      <c r="D44" s="847"/>
      <c r="E44" s="277"/>
      <c r="F44" s="847"/>
      <c r="G44" s="848"/>
      <c r="H44" s="848"/>
      <c r="I44" s="1142">
        <f t="shared" si="1"/>
        <v>0</v>
      </c>
    </row>
    <row r="45" spans="1:9" ht="19.5">
      <c r="A45" s="106"/>
      <c r="B45" s="107"/>
      <c r="C45" s="1082"/>
      <c r="D45" s="105"/>
      <c r="E45" s="277"/>
      <c r="F45" s="6"/>
      <c r="G45" s="294"/>
      <c r="H45" s="269"/>
      <c r="I45" s="269"/>
    </row>
    <row r="46" spans="1:9" ht="19.5">
      <c r="A46" s="106">
        <f>+A35+1</f>
        <v>6</v>
      </c>
      <c r="B46" s="107"/>
      <c r="C46" s="1082" t="s">
        <v>465</v>
      </c>
      <c r="D46" s="230"/>
      <c r="E46" s="277">
        <f>SUM(F47:F50)</f>
        <v>6554</v>
      </c>
      <c r="F46" s="117"/>
      <c r="G46" s="294"/>
      <c r="H46" s="269"/>
      <c r="I46" s="1142">
        <f>SUM(I47:I51)</f>
        <v>1228.436282033052</v>
      </c>
    </row>
    <row r="47" spans="1:9" ht="19.5">
      <c r="A47" s="106"/>
      <c r="B47" s="107"/>
      <c r="C47" s="1082"/>
      <c r="D47" s="1434">
        <v>2015</v>
      </c>
      <c r="E47" s="277"/>
      <c r="F47" s="1399">
        <v>3308</v>
      </c>
      <c r="G47" s="1400" t="s">
        <v>947</v>
      </c>
      <c r="H47" s="1075">
        <v>0.18404969382490272</v>
      </c>
      <c r="I47" s="1142">
        <f>F47*H47</f>
        <v>608.8363871727781</v>
      </c>
    </row>
    <row r="48" spans="1:9" ht="19.5">
      <c r="A48" s="106"/>
      <c r="B48" s="107"/>
      <c r="C48" s="1082"/>
      <c r="D48" s="1434">
        <v>2016</v>
      </c>
      <c r="E48" s="277"/>
      <c r="F48" s="1399">
        <v>3246</v>
      </c>
      <c r="G48" s="1400" t="s">
        <v>948</v>
      </c>
      <c r="H48" s="1075">
        <v>0.19088105202103323</v>
      </c>
      <c r="I48" s="1142">
        <f>F48*H48</f>
        <v>619.5998948602738</v>
      </c>
    </row>
    <row r="49" spans="1:9" ht="19.5">
      <c r="A49" s="106"/>
      <c r="B49" s="107"/>
      <c r="C49" s="1082"/>
      <c r="D49" s="847"/>
      <c r="E49" s="277"/>
      <c r="F49" s="1399">
        <v>0</v>
      </c>
      <c r="G49" s="1400" t="s">
        <v>116</v>
      </c>
      <c r="H49" s="848"/>
      <c r="I49" s="1142">
        <f>F49*H49</f>
        <v>0</v>
      </c>
    </row>
    <row r="50" spans="1:9" ht="19.5">
      <c r="A50" s="106"/>
      <c r="B50" s="107"/>
      <c r="C50" s="1082"/>
      <c r="D50" s="847"/>
      <c r="E50" s="277"/>
      <c r="F50" s="1399">
        <v>0</v>
      </c>
      <c r="G50" s="1400" t="s">
        <v>116</v>
      </c>
      <c r="H50" s="848"/>
      <c r="I50" s="1142">
        <f>F50*H50</f>
        <v>0</v>
      </c>
    </row>
    <row r="51" spans="1:9" ht="19.5">
      <c r="A51" s="106"/>
      <c r="B51" s="107"/>
      <c r="C51" s="1082"/>
      <c r="D51" s="847"/>
      <c r="E51" s="277"/>
      <c r="F51" s="847"/>
      <c r="G51" s="848"/>
      <c r="H51" s="848"/>
      <c r="I51" s="1142">
        <f>F51*H51</f>
        <v>0</v>
      </c>
    </row>
    <row r="52" spans="1:9" ht="19.5">
      <c r="A52" s="106"/>
      <c r="B52" s="107"/>
      <c r="C52" s="1082"/>
      <c r="D52" s="230"/>
      <c r="E52" s="277">
        <f>SUM(F53:F55)</f>
        <v>0</v>
      </c>
      <c r="F52" s="293"/>
      <c r="G52" s="294"/>
      <c r="H52" s="269"/>
      <c r="I52" s="1143">
        <f>SUM(I53:I55)</f>
        <v>0</v>
      </c>
    </row>
    <row r="53" spans="1:9" ht="19.5">
      <c r="A53" s="106">
        <f>A46+1</f>
        <v>7</v>
      </c>
      <c r="B53" s="107"/>
      <c r="C53" s="1082" t="s">
        <v>465</v>
      </c>
      <c r="D53" s="847"/>
      <c r="E53" s="277"/>
      <c r="F53" s="1242"/>
      <c r="G53" s="1243"/>
      <c r="H53" s="848"/>
      <c r="I53" s="1142">
        <f>F53*H53</f>
        <v>0</v>
      </c>
    </row>
    <row r="54" spans="1:9" ht="19.5">
      <c r="A54" s="106"/>
      <c r="B54" s="107"/>
      <c r="C54" s="105"/>
      <c r="D54" s="847"/>
      <c r="E54" s="277"/>
      <c r="F54" s="1242"/>
      <c r="G54" s="1243"/>
      <c r="H54" s="848"/>
      <c r="I54" s="1142">
        <f>F54*H54</f>
        <v>0</v>
      </c>
    </row>
    <row r="55" spans="1:9" ht="19.5">
      <c r="A55" s="106"/>
      <c r="B55" s="107"/>
      <c r="C55" s="105"/>
      <c r="D55" s="847"/>
      <c r="E55" s="277"/>
      <c r="F55" s="1242"/>
      <c r="G55" s="1243"/>
      <c r="H55" s="848"/>
      <c r="I55" s="1142">
        <f>F55*H55</f>
        <v>0</v>
      </c>
    </row>
    <row r="56" spans="1:9" ht="19.5">
      <c r="A56" s="1096"/>
      <c r="B56" s="1097"/>
      <c r="C56" s="1098"/>
      <c r="D56" s="1099"/>
      <c r="E56" s="1100"/>
      <c r="F56" s="1099"/>
      <c r="G56" s="1101"/>
      <c r="H56" s="1101"/>
      <c r="I56" s="1102"/>
    </row>
    <row r="57" spans="1:8" ht="19.5">
      <c r="A57" s="106"/>
      <c r="B57" s="107"/>
      <c r="C57" s="105"/>
      <c r="D57" s="230"/>
      <c r="E57" s="277"/>
      <c r="F57" s="293"/>
      <c r="G57" s="294"/>
      <c r="H57" s="269"/>
    </row>
    <row r="58" spans="1:8" ht="18">
      <c r="A58" s="106"/>
      <c r="B58" s="107"/>
      <c r="C58" s="37" t="s">
        <v>164</v>
      </c>
      <c r="E58" s="37" t="s">
        <v>165</v>
      </c>
      <c r="F58" s="263" t="s">
        <v>166</v>
      </c>
      <c r="G58" s="263" t="s">
        <v>167</v>
      </c>
      <c r="H58" s="269"/>
    </row>
    <row r="59" spans="1:8" ht="18">
      <c r="A59" s="203"/>
      <c r="B59" s="204"/>
      <c r="C59" s="204"/>
      <c r="D59" s="204"/>
      <c r="E59"/>
      <c r="F59" s="16"/>
      <c r="G59" s="264"/>
      <c r="H59" s="269"/>
    </row>
    <row r="60" spans="1:8" ht="18">
      <c r="A60" s="203" t="s">
        <v>171</v>
      </c>
      <c r="B60" s="204"/>
      <c r="C60" s="204"/>
      <c r="D60" s="204"/>
      <c r="E60" s="205" t="s">
        <v>120</v>
      </c>
      <c r="F60" s="265" t="s">
        <v>77</v>
      </c>
      <c r="G60" s="266"/>
      <c r="H60" s="269"/>
    </row>
    <row r="61" spans="1:8" ht="18">
      <c r="A61" s="207" t="s">
        <v>119</v>
      </c>
      <c r="B61" s="267"/>
      <c r="C61" s="207" t="s">
        <v>30</v>
      </c>
      <c r="D61" s="1093"/>
      <c r="E61" s="208" t="s">
        <v>185</v>
      </c>
      <c r="F61" s="207" t="s">
        <v>78</v>
      </c>
      <c r="G61" s="208" t="s">
        <v>79</v>
      </c>
      <c r="H61" s="269"/>
    </row>
    <row r="62" spans="1:8" ht="19.5">
      <c r="A62" s="106">
        <f>+A53+1</f>
        <v>8</v>
      </c>
      <c r="B62" s="107"/>
      <c r="C62" s="110" t="s">
        <v>327</v>
      </c>
      <c r="D62" s="107"/>
      <c r="E62" s="276"/>
      <c r="F62" s="272" t="s">
        <v>116</v>
      </c>
      <c r="G62" s="270"/>
      <c r="H62" s="269"/>
    </row>
    <row r="63" spans="1:8" ht="19.5">
      <c r="A63" s="106">
        <f>+A62+1</f>
        <v>9</v>
      </c>
      <c r="B63" s="107"/>
      <c r="C63" s="105" t="s">
        <v>323</v>
      </c>
      <c r="D63" s="107"/>
      <c r="E63" s="277">
        <f>SUM(F64)</f>
        <v>11468629</v>
      </c>
      <c r="F63" s="273"/>
      <c r="G63" s="270"/>
      <c r="H63" s="269"/>
    </row>
    <row r="64" spans="1:8" ht="19.5">
      <c r="A64" s="106"/>
      <c r="B64" s="107"/>
      <c r="C64" s="105"/>
      <c r="D64" s="107"/>
      <c r="E64" s="277"/>
      <c r="F64" s="1401">
        <v>11468629</v>
      </c>
      <c r="G64" s="1402" t="s">
        <v>949</v>
      </c>
      <c r="H64" s="269"/>
    </row>
    <row r="65" spans="1:8" ht="19.5">
      <c r="A65" s="106">
        <f>+A63+1</f>
        <v>10</v>
      </c>
      <c r="B65" s="107"/>
      <c r="C65" s="105" t="s">
        <v>316</v>
      </c>
      <c r="D65" s="107"/>
      <c r="E65" s="277">
        <f>SUM(F66)</f>
        <v>66563</v>
      </c>
      <c r="F65" s="117"/>
      <c r="G65" s="305"/>
      <c r="H65" s="269"/>
    </row>
    <row r="66" spans="1:8" ht="19.5">
      <c r="A66" s="106"/>
      <c r="B66" s="107"/>
      <c r="C66" s="105"/>
      <c r="D66" s="107"/>
      <c r="E66" s="277"/>
      <c r="F66" s="1403">
        <v>66563</v>
      </c>
      <c r="G66" s="1404" t="s">
        <v>875</v>
      </c>
      <c r="H66" s="269"/>
    </row>
    <row r="67" spans="1:8" ht="19.5">
      <c r="A67" s="106">
        <f>+A65+1</f>
        <v>11</v>
      </c>
      <c r="B67" s="107"/>
      <c r="C67" s="105" t="s">
        <v>317</v>
      </c>
      <c r="D67" s="107"/>
      <c r="E67" s="277">
        <f>SUM(F68:F72)</f>
        <v>332440</v>
      </c>
      <c r="F67" s="117"/>
      <c r="G67" s="270"/>
      <c r="H67" s="269"/>
    </row>
    <row r="68" spans="1:8" ht="19.5">
      <c r="A68" s="106"/>
      <c r="B68" s="107"/>
      <c r="C68" s="105"/>
      <c r="D68" s="107"/>
      <c r="E68" s="277"/>
      <c r="F68" s="1405">
        <v>53901</v>
      </c>
      <c r="G68" s="1406" t="s">
        <v>950</v>
      </c>
      <c r="H68" s="269"/>
    </row>
    <row r="69" spans="1:8" ht="19.5">
      <c r="A69" s="106"/>
      <c r="B69" s="107"/>
      <c r="C69" s="105"/>
      <c r="D69" s="107"/>
      <c r="E69" s="277"/>
      <c r="F69" s="1405">
        <v>286577</v>
      </c>
      <c r="G69" s="1406" t="s">
        <v>951</v>
      </c>
      <c r="H69" s="269"/>
    </row>
    <row r="70" spans="1:8" ht="19.5">
      <c r="A70" s="106"/>
      <c r="B70" s="107"/>
      <c r="C70" s="105"/>
      <c r="D70" s="107"/>
      <c r="E70" s="277"/>
      <c r="F70" s="1405">
        <v>-8108</v>
      </c>
      <c r="G70" s="1406" t="s">
        <v>952</v>
      </c>
      <c r="H70" s="269"/>
    </row>
    <row r="71" spans="1:8" ht="19.5">
      <c r="A71" s="104"/>
      <c r="B71" s="104"/>
      <c r="C71" s="104"/>
      <c r="D71" s="107"/>
      <c r="E71" s="276"/>
      <c r="F71" s="1405">
        <v>70</v>
      </c>
      <c r="G71" s="1406" t="s">
        <v>953</v>
      </c>
      <c r="H71" s="269"/>
    </row>
    <row r="72" spans="1:8" ht="19.5">
      <c r="A72" s="104"/>
      <c r="B72" s="104"/>
      <c r="C72" s="104"/>
      <c r="D72" s="107"/>
      <c r="E72" s="276"/>
      <c r="F72" s="1405">
        <v>0</v>
      </c>
      <c r="G72" s="1406" t="s">
        <v>116</v>
      </c>
      <c r="H72" s="269"/>
    </row>
    <row r="73" spans="1:8" ht="19.5">
      <c r="A73" s="106">
        <f>A67+1</f>
        <v>12</v>
      </c>
      <c r="B73" s="107"/>
      <c r="C73" s="110" t="s">
        <v>442</v>
      </c>
      <c r="D73" s="107"/>
      <c r="E73" s="277">
        <f>SUM(F74:F74)</f>
        <v>0</v>
      </c>
      <c r="F73" s="293"/>
      <c r="G73" s="294"/>
      <c r="H73" s="269"/>
    </row>
    <row r="74" spans="1:8" ht="19.5">
      <c r="A74" s="106">
        <f>+A73+1</f>
        <v>13</v>
      </c>
      <c r="B74" s="107"/>
      <c r="C74" s="117" t="s">
        <v>443</v>
      </c>
      <c r="D74" s="230"/>
      <c r="E74" s="277"/>
      <c r="F74" s="1244"/>
      <c r="G74" s="1245"/>
      <c r="H74" s="269"/>
    </row>
    <row r="75" spans="1:8" ht="19.5">
      <c r="A75" s="106"/>
      <c r="B75" s="107"/>
      <c r="C75" s="102"/>
      <c r="D75" s="107"/>
      <c r="E75" s="279"/>
      <c r="F75" s="293"/>
      <c r="G75" s="102"/>
      <c r="H75" s="269"/>
    </row>
    <row r="76" spans="1:8" ht="19.5">
      <c r="A76" s="114">
        <f>+A74+1</f>
        <v>14</v>
      </c>
      <c r="B76" s="107"/>
      <c r="C76" s="110" t="s">
        <v>324</v>
      </c>
      <c r="D76" s="116"/>
      <c r="E76" s="276"/>
      <c r="F76" s="117"/>
      <c r="G76" s="102"/>
      <c r="H76" s="269"/>
    </row>
    <row r="77" spans="1:8" ht="19.5">
      <c r="A77" s="114">
        <f>A76+1</f>
        <v>15</v>
      </c>
      <c r="B77" s="115"/>
      <c r="C77" s="102" t="s">
        <v>441</v>
      </c>
      <c r="D77" s="116"/>
      <c r="E77" s="277">
        <f>SUM(F78:F80)</f>
        <v>0</v>
      </c>
      <c r="F77" s="117"/>
      <c r="G77" s="102"/>
      <c r="H77" s="269"/>
    </row>
    <row r="78" spans="1:8" ht="19.5">
      <c r="A78" s="114"/>
      <c r="B78" s="115"/>
      <c r="C78" s="102"/>
      <c r="D78" s="104"/>
      <c r="E78" s="279"/>
      <c r="F78" s="1407"/>
      <c r="G78" s="1408"/>
      <c r="H78" s="269"/>
    </row>
    <row r="79" spans="1:8" ht="19.5">
      <c r="A79" s="114"/>
      <c r="B79" s="115"/>
      <c r="C79" s="102"/>
      <c r="D79" s="104"/>
      <c r="E79" s="279"/>
      <c r="F79" s="1407"/>
      <c r="G79" s="1408"/>
      <c r="H79" s="269"/>
    </row>
    <row r="80" spans="1:8" ht="19.5">
      <c r="A80" s="114"/>
      <c r="B80" s="115"/>
      <c r="C80" s="102"/>
      <c r="D80" s="104"/>
      <c r="E80" s="279"/>
      <c r="F80" s="1407"/>
      <c r="G80" s="1408"/>
      <c r="H80" s="269"/>
    </row>
    <row r="81" spans="1:8" ht="19.5">
      <c r="A81" s="114"/>
      <c r="B81" s="115"/>
      <c r="C81" s="102"/>
      <c r="D81" s="104"/>
      <c r="E81" s="279"/>
      <c r="F81" s="1407"/>
      <c r="G81" s="1408"/>
      <c r="H81" s="269"/>
    </row>
    <row r="82" spans="1:8" ht="19.5">
      <c r="A82" s="106">
        <f>A77+1</f>
        <v>16</v>
      </c>
      <c r="B82" s="115"/>
      <c r="C82" s="102" t="s">
        <v>318</v>
      </c>
      <c r="D82" s="107"/>
      <c r="E82" s="277">
        <f>SUM(F83:F86)</f>
        <v>2318492</v>
      </c>
      <c r="F82" s="117"/>
      <c r="G82" s="102"/>
      <c r="H82" s="269"/>
    </row>
    <row r="83" spans="1:8" ht="19.5">
      <c r="A83" s="106"/>
      <c r="B83" s="115"/>
      <c r="C83" s="102"/>
      <c r="D83" s="107"/>
      <c r="E83" s="158"/>
      <c r="F83" s="1409">
        <v>727418</v>
      </c>
      <c r="G83" s="1410" t="s">
        <v>876</v>
      </c>
      <c r="H83" s="269"/>
    </row>
    <row r="84" spans="1:8" ht="19.5">
      <c r="A84" s="106"/>
      <c r="B84" s="115"/>
      <c r="C84" s="102"/>
      <c r="D84" s="107"/>
      <c r="E84" s="158"/>
      <c r="F84" s="1409">
        <v>871649</v>
      </c>
      <c r="G84" s="1410" t="s">
        <v>954</v>
      </c>
      <c r="H84" s="269"/>
    </row>
    <row r="85" spans="1:8" ht="19.5">
      <c r="A85" s="106"/>
      <c r="B85" s="115"/>
      <c r="C85" s="102"/>
      <c r="D85" s="107"/>
      <c r="E85" s="158"/>
      <c r="F85" s="1409">
        <v>466732</v>
      </c>
      <c r="G85" s="1410" t="s">
        <v>955</v>
      </c>
      <c r="H85" s="269"/>
    </row>
    <row r="86" spans="1:8" ht="19.5">
      <c r="A86" s="106"/>
      <c r="B86" s="115"/>
      <c r="C86" s="102"/>
      <c r="D86" s="107"/>
      <c r="E86" s="158"/>
      <c r="F86" s="1409">
        <v>252693</v>
      </c>
      <c r="G86" s="1410" t="s">
        <v>956</v>
      </c>
      <c r="H86" s="269"/>
    </row>
    <row r="87" spans="1:8" ht="19.5">
      <c r="A87" s="106">
        <f>+A82+1</f>
        <v>17</v>
      </c>
      <c r="B87" s="107"/>
      <c r="C87" s="102" t="s">
        <v>319</v>
      </c>
      <c r="D87"/>
      <c r="E87" s="277">
        <f>SUM(F88:F95)</f>
        <v>15338</v>
      </c>
      <c r="H87" s="269"/>
    </row>
    <row r="88" spans="1:8" ht="19.5">
      <c r="A88" s="106"/>
      <c r="B88" s="107"/>
      <c r="C88" s="102"/>
      <c r="D88"/>
      <c r="E88" s="158"/>
      <c r="F88" s="1409">
        <v>2584</v>
      </c>
      <c r="G88" s="1410" t="s">
        <v>957</v>
      </c>
      <c r="H88" s="269"/>
    </row>
    <row r="89" spans="1:8" ht="19.5">
      <c r="A89" s="106"/>
      <c r="B89" s="107"/>
      <c r="C89" s="102"/>
      <c r="D89"/>
      <c r="E89" s="158"/>
      <c r="F89" s="1409">
        <v>12654</v>
      </c>
      <c r="G89" s="1410" t="s">
        <v>958</v>
      </c>
      <c r="H89" s="269"/>
    </row>
    <row r="90" spans="1:8" ht="19.5">
      <c r="A90" s="106"/>
      <c r="B90" s="107"/>
      <c r="C90" s="102"/>
      <c r="D90"/>
      <c r="E90" s="158"/>
      <c r="F90" s="1409">
        <v>100</v>
      </c>
      <c r="G90" s="1410" t="s">
        <v>1284</v>
      </c>
      <c r="H90" s="269"/>
    </row>
    <row r="91" spans="1:8" ht="19.5">
      <c r="A91" s="106"/>
      <c r="B91" s="107"/>
      <c r="C91" s="102"/>
      <c r="D91"/>
      <c r="E91" s="158"/>
      <c r="F91" s="1409"/>
      <c r="G91" s="1410"/>
      <c r="H91" s="269"/>
    </row>
    <row r="92" spans="1:8" ht="19.5">
      <c r="A92" s="106"/>
      <c r="B92" s="107"/>
      <c r="C92" s="102"/>
      <c r="D92"/>
      <c r="E92" s="158"/>
      <c r="F92" s="1246"/>
      <c r="G92" s="1247"/>
      <c r="H92" s="269"/>
    </row>
    <row r="93" spans="1:8" ht="19.5">
      <c r="A93" s="106"/>
      <c r="B93" s="107"/>
      <c r="C93" s="102"/>
      <c r="D93"/>
      <c r="E93" s="158"/>
      <c r="F93" s="1246"/>
      <c r="G93" s="1247"/>
      <c r="H93" s="269"/>
    </row>
    <row r="94" spans="1:8" ht="19.5">
      <c r="A94" s="106"/>
      <c r="B94" s="107"/>
      <c r="C94" s="102"/>
      <c r="D94"/>
      <c r="E94" s="158"/>
      <c r="F94" s="1246"/>
      <c r="G94" s="1247"/>
      <c r="H94" s="269"/>
    </row>
    <row r="95" spans="1:8" ht="19.5">
      <c r="A95" s="106"/>
      <c r="B95" s="107"/>
      <c r="C95" s="102"/>
      <c r="D95"/>
      <c r="E95" s="158"/>
      <c r="F95" s="1246"/>
      <c r="G95" s="1247"/>
      <c r="H95" s="269"/>
    </row>
    <row r="96" spans="1:8" ht="19.5">
      <c r="A96" s="106"/>
      <c r="B96" s="107"/>
      <c r="C96" s="102"/>
      <c r="D96"/>
      <c r="E96" s="158"/>
      <c r="F96" s="117"/>
      <c r="G96" s="102"/>
      <c r="H96" s="269"/>
    </row>
    <row r="97" spans="1:8" ht="19.5">
      <c r="A97" s="106">
        <f>+A87+1</f>
        <v>18</v>
      </c>
      <c r="B97" s="107"/>
      <c r="C97" s="102" t="s">
        <v>320</v>
      </c>
      <c r="D97"/>
      <c r="E97" s="277">
        <f>SUM(F98:F108)</f>
        <v>463</v>
      </c>
      <c r="F97" s="117"/>
      <c r="G97" s="102"/>
      <c r="H97" s="269"/>
    </row>
    <row r="98" spans="1:8" ht="19.5">
      <c r="A98" s="106"/>
      <c r="B98" s="107"/>
      <c r="C98" s="102"/>
      <c r="D98"/>
      <c r="E98" s="158"/>
      <c r="F98" s="1411">
        <v>300</v>
      </c>
      <c r="G98" s="1412" t="s">
        <v>959</v>
      </c>
      <c r="H98" s="269"/>
    </row>
    <row r="99" spans="1:8" ht="19.5">
      <c r="A99" s="106"/>
      <c r="B99" s="107"/>
      <c r="C99" s="102"/>
      <c r="D99"/>
      <c r="E99" s="158"/>
      <c r="F99" s="1411">
        <v>50</v>
      </c>
      <c r="G99" s="1412" t="s">
        <v>960</v>
      </c>
      <c r="H99" s="269"/>
    </row>
    <row r="100" spans="1:8" ht="19.5">
      <c r="A100" s="106"/>
      <c r="B100" s="107"/>
      <c r="C100" s="102"/>
      <c r="D100"/>
      <c r="E100" s="158"/>
      <c r="F100" s="1411">
        <v>113</v>
      </c>
      <c r="G100" s="1412" t="s">
        <v>961</v>
      </c>
      <c r="H100" s="269"/>
    </row>
    <row r="101" spans="1:8" ht="19.5">
      <c r="A101" s="106"/>
      <c r="B101" s="107"/>
      <c r="C101" s="102"/>
      <c r="D101"/>
      <c r="E101" s="158"/>
      <c r="F101" s="1249"/>
      <c r="G101" s="1250"/>
      <c r="H101" s="269"/>
    </row>
    <row r="102" spans="1:8" ht="19.5">
      <c r="A102" s="106"/>
      <c r="B102" s="107"/>
      <c r="C102" s="102"/>
      <c r="D102"/>
      <c r="E102" s="158"/>
      <c r="F102" s="1249"/>
      <c r="G102" s="1250"/>
      <c r="H102" s="269"/>
    </row>
    <row r="103" spans="1:8" ht="19.5">
      <c r="A103" s="106"/>
      <c r="B103" s="107"/>
      <c r="C103" s="102"/>
      <c r="D103"/>
      <c r="E103" s="158"/>
      <c r="F103" s="1249"/>
      <c r="G103" s="1250"/>
      <c r="H103" s="269"/>
    </row>
    <row r="104" spans="1:8" ht="19.5">
      <c r="A104" s="106"/>
      <c r="B104" s="107"/>
      <c r="C104" s="102"/>
      <c r="D104"/>
      <c r="E104" s="158"/>
      <c r="F104" s="1249"/>
      <c r="G104" s="1250"/>
      <c r="H104" s="269"/>
    </row>
    <row r="105" spans="1:8" ht="19.5">
      <c r="A105" s="106"/>
      <c r="B105" s="107"/>
      <c r="C105" s="102"/>
      <c r="D105"/>
      <c r="E105" s="158"/>
      <c r="F105" s="1249"/>
      <c r="G105" s="1250"/>
      <c r="H105" s="269"/>
    </row>
    <row r="106" spans="1:8" ht="19.5">
      <c r="A106" s="106"/>
      <c r="B106" s="107"/>
      <c r="C106" s="102"/>
      <c r="D106"/>
      <c r="E106" s="158"/>
      <c r="F106" s="1249"/>
      <c r="G106" s="1250"/>
      <c r="H106" s="269"/>
    </row>
    <row r="107" spans="1:8" ht="19.5">
      <c r="A107" s="106"/>
      <c r="B107" s="107"/>
      <c r="C107" s="102"/>
      <c r="D107"/>
      <c r="E107" s="158"/>
      <c r="F107" s="1249"/>
      <c r="G107" s="1250"/>
      <c r="H107" s="269"/>
    </row>
    <row r="108" spans="1:8" ht="19.5">
      <c r="A108" s="106"/>
      <c r="B108" s="107"/>
      <c r="C108" s="102"/>
      <c r="D108"/>
      <c r="E108" s="158"/>
      <c r="F108" s="1249"/>
      <c r="G108" s="1250"/>
      <c r="H108" s="269"/>
    </row>
    <row r="109" spans="1:8" ht="19.5">
      <c r="A109" s="106">
        <f>+A97+1</f>
        <v>19</v>
      </c>
      <c r="B109" s="107"/>
      <c r="C109" s="102" t="s">
        <v>321</v>
      </c>
      <c r="D109" s="107"/>
      <c r="E109" s="277">
        <f>SUM(F110:F111)</f>
        <v>0</v>
      </c>
      <c r="F109" s="117"/>
      <c r="G109" s="1248"/>
      <c r="H109" s="269"/>
    </row>
    <row r="110" spans="1:8" ht="19.5">
      <c r="A110" s="106"/>
      <c r="B110" s="107"/>
      <c r="C110" s="102"/>
      <c r="D110" s="107"/>
      <c r="E110" s="277"/>
      <c r="F110" s="1251"/>
      <c r="G110" s="1252"/>
      <c r="H110" s="269"/>
    </row>
    <row r="111" spans="1:8" ht="19.5">
      <c r="A111" s="106"/>
      <c r="B111" s="107"/>
      <c r="C111" s="102"/>
      <c r="D111" s="107"/>
      <c r="E111" s="279"/>
      <c r="F111" s="1251"/>
      <c r="G111" s="1252"/>
      <c r="H111" s="269"/>
    </row>
    <row r="112" spans="1:8" ht="19.5">
      <c r="A112" s="106">
        <f>+A109+1</f>
        <v>20</v>
      </c>
      <c r="B112" s="107"/>
      <c r="C112" s="102" t="s">
        <v>322</v>
      </c>
      <c r="D112" s="104"/>
      <c r="E112" s="277">
        <f>SUM(F113:F118)</f>
        <v>49228</v>
      </c>
      <c r="G112" s="102"/>
      <c r="H112" s="269"/>
    </row>
    <row r="113" spans="1:8" ht="19.5">
      <c r="A113" s="106"/>
      <c r="B113" s="107"/>
      <c r="C113" s="102"/>
      <c r="D113" s="104"/>
      <c r="E113" s="277"/>
      <c r="F113" s="1413">
        <v>9899</v>
      </c>
      <c r="G113" s="1414" t="s">
        <v>962</v>
      </c>
      <c r="H113" s="269"/>
    </row>
    <row r="114" spans="1:8" ht="19.5">
      <c r="A114" s="106"/>
      <c r="B114" s="107"/>
      <c r="C114" s="102"/>
      <c r="D114" s="104"/>
      <c r="E114" s="277"/>
      <c r="F114" s="1413">
        <v>95407</v>
      </c>
      <c r="G114" s="1414" t="s">
        <v>963</v>
      </c>
      <c r="H114" s="269"/>
    </row>
    <row r="115" spans="1:8" ht="19.5">
      <c r="A115" s="106"/>
      <c r="B115" s="107"/>
      <c r="C115" s="102"/>
      <c r="D115" s="107"/>
      <c r="E115" s="158"/>
      <c r="F115" s="1413">
        <v>-56078</v>
      </c>
      <c r="G115" s="1414" t="s">
        <v>964</v>
      </c>
      <c r="H115" s="269"/>
    </row>
    <row r="116" spans="1:8" ht="19.5">
      <c r="A116" s="106"/>
      <c r="B116" s="107"/>
      <c r="C116" s="102"/>
      <c r="D116" s="107"/>
      <c r="E116" s="158"/>
      <c r="F116" s="1253"/>
      <c r="G116" s="1254"/>
      <c r="H116" s="269"/>
    </row>
    <row r="117" spans="1:8" ht="19.5">
      <c r="A117" s="106"/>
      <c r="B117" s="107"/>
      <c r="C117" s="102"/>
      <c r="D117" s="107"/>
      <c r="E117" s="158"/>
      <c r="F117" s="1253"/>
      <c r="G117" s="1254"/>
      <c r="H117" s="269"/>
    </row>
    <row r="118" spans="1:8" ht="19.5">
      <c r="A118" s="106"/>
      <c r="B118" s="107"/>
      <c r="C118" s="102"/>
      <c r="D118" s="107"/>
      <c r="E118" s="158"/>
      <c r="F118" s="117"/>
      <c r="G118" s="102"/>
      <c r="H118" s="269"/>
    </row>
    <row r="119" spans="1:8" ht="19.5">
      <c r="A119" s="106">
        <f>+A112+1</f>
        <v>21</v>
      </c>
      <c r="B119" s="107"/>
      <c r="C119" s="102" t="s">
        <v>310</v>
      </c>
      <c r="D119" s="102"/>
      <c r="E119" s="277">
        <f>SUM(F120:F121)</f>
        <v>12387</v>
      </c>
      <c r="F119" s="117"/>
      <c r="G119" s="102"/>
      <c r="H119" s="269"/>
    </row>
    <row r="120" spans="1:8" ht="19.5">
      <c r="A120" s="106"/>
      <c r="B120" s="107"/>
      <c r="C120" s="102"/>
      <c r="D120" s="102"/>
      <c r="E120" s="158"/>
      <c r="F120" s="1415">
        <v>11961</v>
      </c>
      <c r="G120" s="1416" t="s">
        <v>965</v>
      </c>
      <c r="H120" s="269"/>
    </row>
    <row r="121" spans="1:8" ht="19.5">
      <c r="A121" s="106"/>
      <c r="B121" s="107"/>
      <c r="C121" s="102"/>
      <c r="D121" s="102"/>
      <c r="E121" s="158"/>
      <c r="F121" s="1415">
        <v>426</v>
      </c>
      <c r="G121" s="1416" t="s">
        <v>1285</v>
      </c>
      <c r="H121" s="269"/>
    </row>
    <row r="122" spans="1:8" ht="19.5">
      <c r="A122" s="106">
        <f>+A119+1</f>
        <v>22</v>
      </c>
      <c r="B122" s="102"/>
      <c r="C122" s="128" t="s">
        <v>108</v>
      </c>
      <c r="D122" s="117"/>
      <c r="E122" s="277">
        <f>SUM(F123:F123)</f>
        <v>0</v>
      </c>
      <c r="F122" s="274"/>
      <c r="G122" s="102"/>
      <c r="H122" s="269"/>
    </row>
    <row r="123" spans="1:7" ht="19.5">
      <c r="A123" s="106"/>
      <c r="B123" s="102"/>
      <c r="C123" s="128"/>
      <c r="D123" s="117"/>
      <c r="E123" s="158"/>
      <c r="F123" s="847"/>
      <c r="G123" s="848"/>
    </row>
    <row r="124" spans="1:7" ht="19.5">
      <c r="A124" s="6"/>
      <c r="B124" s="102"/>
      <c r="C124" s="251"/>
      <c r="D124"/>
      <c r="E124"/>
      <c r="F124" s="250"/>
      <c r="G124" s="275"/>
    </row>
    <row r="125" spans="1:7" ht="20.25" thickBot="1">
      <c r="A125" s="244">
        <f>+A122+1</f>
        <v>23</v>
      </c>
      <c r="B125" s="251"/>
      <c r="C125" s="102" t="s">
        <v>313</v>
      </c>
      <c r="D125"/>
      <c r="E125" s="127">
        <f>SUM(E13,E23,E63:E123)</f>
        <v>88676779</v>
      </c>
      <c r="F125" s="127">
        <f>SUM(F13:F123)</f>
        <v>88676779</v>
      </c>
      <c r="G125" s="102"/>
    </row>
    <row r="126" spans="1:7" ht="20.25" thickTop="1">
      <c r="A126" s="6"/>
      <c r="B126" s="251"/>
      <c r="C126" s="102" t="s">
        <v>383</v>
      </c>
      <c r="D126"/>
      <c r="E126"/>
      <c r="F126" s="274"/>
      <c r="G126" s="102"/>
    </row>
    <row r="127" spans="1:7" ht="21">
      <c r="A127" s="6"/>
      <c r="B127" s="251"/>
      <c r="C127" s="102"/>
      <c r="D127"/>
      <c r="E127" s="280"/>
      <c r="F127" s="160" t="s">
        <v>116</v>
      </c>
      <c r="G127" s="102"/>
    </row>
    <row r="128" spans="1:7" ht="20.25" customHeight="1">
      <c r="A128" s="1511" t="s">
        <v>755</v>
      </c>
      <c r="B128" s="1511"/>
      <c r="C128" s="1511"/>
      <c r="D128" s="1511"/>
      <c r="E128" s="1511"/>
      <c r="F128" s="1511"/>
      <c r="G128" s="1511"/>
    </row>
    <row r="129" spans="1:7" ht="20.25" customHeight="1">
      <c r="A129" s="1511"/>
      <c r="B129" s="1511"/>
      <c r="C129" s="1511"/>
      <c r="D129" s="1511"/>
      <c r="E129" s="1511"/>
      <c r="F129" s="1511"/>
      <c r="G129" s="1511"/>
    </row>
    <row r="130" spans="1:7" ht="20.25" customHeight="1">
      <c r="A130" s="1511"/>
      <c r="B130" s="1511"/>
      <c r="C130" s="1511"/>
      <c r="D130" s="1511"/>
      <c r="E130" s="1511"/>
      <c r="F130" s="1511"/>
      <c r="G130" s="1511"/>
    </row>
    <row r="131" spans="1:7" ht="20.25" customHeight="1">
      <c r="A131" s="1511"/>
      <c r="B131" s="1511"/>
      <c r="C131" s="1511"/>
      <c r="D131" s="1511"/>
      <c r="E131" s="1511"/>
      <c r="F131" s="1511"/>
      <c r="G131" s="1511"/>
    </row>
    <row r="132" spans="1:7" ht="20.25" customHeight="1">
      <c r="A132" s="1511"/>
      <c r="B132" s="1511"/>
      <c r="C132" s="1511"/>
      <c r="D132" s="1511"/>
      <c r="E132" s="1511"/>
      <c r="F132" s="1511"/>
      <c r="G132" s="1511"/>
    </row>
    <row r="133" spans="1:7" ht="20.25" customHeight="1">
      <c r="A133" s="1138"/>
      <c r="B133" s="1138"/>
      <c r="C133" s="1138"/>
      <c r="D133" s="1138"/>
      <c r="E133" s="1138"/>
      <c r="F133" s="1138"/>
      <c r="G133" s="1138"/>
    </row>
    <row r="134" spans="1:7" ht="30.75" customHeight="1">
      <c r="A134" s="1510" t="s">
        <v>810</v>
      </c>
      <c r="B134" s="1510"/>
      <c r="C134" s="1510"/>
      <c r="D134" s="1510"/>
      <c r="E134" s="1510"/>
      <c r="F134" s="1510"/>
      <c r="G134" s="1510"/>
    </row>
    <row r="135" spans="1:7" ht="30.75" customHeight="1">
      <c r="A135" s="1510"/>
      <c r="B135" s="1510"/>
      <c r="C135" s="1510"/>
      <c r="D135" s="1510"/>
      <c r="E135" s="1510"/>
      <c r="F135" s="1510"/>
      <c r="G135" s="1510"/>
    </row>
    <row r="136" spans="2:7" ht="19.5">
      <c r="B136" s="155"/>
      <c r="F136" s="117"/>
      <c r="G136" s="102"/>
    </row>
    <row r="137" spans="2:7" ht="19.5">
      <c r="B137" s="155"/>
      <c r="F137" s="274"/>
      <c r="G137" s="102"/>
    </row>
    <row r="138" spans="2:7" ht="19.5">
      <c r="B138" s="155"/>
      <c r="F138" s="274"/>
      <c r="G138" s="102"/>
    </row>
    <row r="139" spans="2:7" ht="19.5">
      <c r="B139" s="155"/>
      <c r="F139" s="274"/>
      <c r="G139" s="102"/>
    </row>
    <row r="140" spans="2:7" ht="19.5">
      <c r="B140" s="155"/>
      <c r="F140" s="117"/>
      <c r="G140" s="269"/>
    </row>
    <row r="141" spans="2:7" ht="19.5">
      <c r="B141" s="155"/>
      <c r="F141" s="117"/>
      <c r="G141" s="269"/>
    </row>
    <row r="142" spans="2:7" ht="19.5">
      <c r="B142" s="155"/>
      <c r="F142" s="117"/>
      <c r="G142" s="269"/>
    </row>
    <row r="143" spans="2:7" ht="19.5">
      <c r="B143" s="155"/>
      <c r="F143" s="276"/>
      <c r="G143" s="269"/>
    </row>
    <row r="144" spans="2:6" ht="19.5">
      <c r="B144" s="155"/>
      <c r="F144" s="129"/>
    </row>
    <row r="145" spans="2:6" ht="12.75">
      <c r="B145" s="155"/>
      <c r="F145" s="266"/>
    </row>
    <row r="146" spans="2:6" ht="12.75">
      <c r="B146" s="155"/>
      <c r="F146" s="266"/>
    </row>
    <row r="147" ht="12.75">
      <c r="B147" s="155"/>
    </row>
    <row r="148" ht="12.75">
      <c r="B148" s="155"/>
    </row>
    <row r="149" ht="12.75">
      <c r="B149" s="155"/>
    </row>
    <row r="150" ht="12.75">
      <c r="B150" s="155"/>
    </row>
  </sheetData>
  <sheetProtection/>
  <mergeCells count="7">
    <mergeCell ref="A134:G135"/>
    <mergeCell ref="A128:G132"/>
    <mergeCell ref="A5:F5"/>
    <mergeCell ref="A1:F1"/>
    <mergeCell ref="A2:F2"/>
    <mergeCell ref="A3:F3"/>
    <mergeCell ref="A4:F4"/>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L52" sqref="L5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513" t="s">
        <v>389</v>
      </c>
      <c r="B1" s="1513"/>
      <c r="C1" s="1513"/>
      <c r="D1" s="1513"/>
      <c r="E1" s="1513"/>
      <c r="F1" s="1513"/>
      <c r="G1" s="1513"/>
      <c r="H1" s="1513"/>
      <c r="I1" s="1513"/>
      <c r="J1" s="1513"/>
      <c r="K1" s="149"/>
      <c r="L1" s="149"/>
      <c r="M1" s="149"/>
    </row>
    <row r="2" spans="1:13" ht="18">
      <c r="A2" s="1512" t="str">
        <f>"Cost of Service Formula Rate Using "&amp;'I&amp;M TCOS'!L2&amp;" FF1 Balances"</f>
        <v>Cost of Service Formula Rate Using 2017 FF1 Balances</v>
      </c>
      <c r="B2" s="1512"/>
      <c r="C2" s="1512"/>
      <c r="D2" s="1512"/>
      <c r="E2" s="1512"/>
      <c r="F2" s="1512"/>
      <c r="G2" s="1512"/>
      <c r="H2" s="1512"/>
      <c r="I2" s="1512"/>
      <c r="J2" s="1512"/>
      <c r="K2" s="89"/>
      <c r="L2" s="89"/>
      <c r="M2" s="89"/>
    </row>
    <row r="3" spans="1:13" ht="18">
      <c r="A3" s="1512" t="s">
        <v>550</v>
      </c>
      <c r="B3" s="1512"/>
      <c r="C3" s="1512"/>
      <c r="D3" s="1512"/>
      <c r="E3" s="1512"/>
      <c r="F3" s="1512"/>
      <c r="G3" s="1512"/>
      <c r="H3" s="1512"/>
      <c r="I3" s="1512"/>
      <c r="J3" s="1512"/>
      <c r="K3" s="150"/>
      <c r="L3" s="150"/>
      <c r="M3" s="150"/>
    </row>
    <row r="4" spans="1:13" ht="18">
      <c r="A4" s="1507" t="str">
        <f>+'I&amp;M TCOS'!F7</f>
        <v>INDIANA MICHIGAN POWER COMPANY</v>
      </c>
      <c r="B4" s="1507"/>
      <c r="C4" s="1507"/>
      <c r="D4" s="1507"/>
      <c r="E4" s="1507"/>
      <c r="F4" s="1507"/>
      <c r="G4" s="1507"/>
      <c r="H4" s="1507"/>
      <c r="I4" s="1507"/>
      <c r="J4" s="1507"/>
      <c r="K4" s="161"/>
      <c r="L4" s="161"/>
      <c r="M4" s="161"/>
    </row>
    <row r="6" spans="1:6" ht="18">
      <c r="A6" s="167"/>
      <c r="B6" s="94"/>
      <c r="D6" s="96"/>
      <c r="E6" s="6"/>
      <c r="F6" s="98"/>
    </row>
    <row r="7" spans="3:29" ht="18">
      <c r="C7" s="7"/>
      <c r="D7" s="96"/>
      <c r="E7" s="6"/>
      <c r="F7" s="98"/>
      <c r="Q7" s="149"/>
      <c r="R7" s="149"/>
      <c r="S7" s="149"/>
      <c r="T7" s="149"/>
      <c r="U7" s="149"/>
      <c r="V7" s="149"/>
      <c r="W7" s="149"/>
      <c r="X7" s="149"/>
      <c r="Y7" s="149"/>
      <c r="Z7" s="149"/>
      <c r="AA7" s="149"/>
      <c r="AB7" s="149"/>
      <c r="AC7" s="149"/>
    </row>
    <row r="8" spans="3:4" ht="12.75">
      <c r="C8" s="7"/>
      <c r="D8" s="96"/>
    </row>
    <row r="9" spans="3:4" ht="12.75">
      <c r="C9" s="7"/>
      <c r="D9" s="96"/>
    </row>
    <row r="10" spans="3:8" ht="12.75">
      <c r="C10" s="7"/>
      <c r="D10" s="96"/>
      <c r="H10" s="97"/>
    </row>
    <row r="11" spans="3:8" ht="12.75">
      <c r="C11" s="7"/>
      <c r="D11" s="96"/>
      <c r="H11" s="97"/>
    </row>
    <row r="12" spans="3:8" ht="12.75">
      <c r="C12" s="7"/>
      <c r="D12" s="96"/>
      <c r="E12" s="6"/>
      <c r="H12" s="97"/>
    </row>
    <row r="13" spans="3:8" ht="12.75">
      <c r="C13" s="7"/>
      <c r="D13" s="96"/>
      <c r="E13" s="6"/>
      <c r="H13" s="98"/>
    </row>
    <row r="14" spans="3:8" ht="12.75">
      <c r="C14" s="7"/>
      <c r="D14" s="96"/>
      <c r="E14" s="6"/>
      <c r="H14" s="162"/>
    </row>
    <row r="16" spans="1:2" ht="18">
      <c r="A16" s="167"/>
      <c r="B16" s="19"/>
    </row>
    <row r="18" spans="1:10" ht="12.75">
      <c r="A18" s="18"/>
      <c r="B18" s="18"/>
      <c r="C18" s="163"/>
      <c r="E18" s="163"/>
      <c r="F18" s="163"/>
      <c r="G18" s="163"/>
      <c r="H18" s="163"/>
      <c r="I18" s="163"/>
      <c r="J18" s="164"/>
    </row>
    <row r="20" spans="5:12" ht="12.75">
      <c r="E20" s="165"/>
      <c r="F20" s="166"/>
      <c r="G20" s="166"/>
      <c r="I20" s="166"/>
      <c r="L20" s="295"/>
    </row>
    <row r="21" spans="5:12" ht="12.75">
      <c r="E21" s="100"/>
      <c r="F21" s="166"/>
      <c r="G21" s="166"/>
      <c r="I21" s="166"/>
      <c r="L21" s="295"/>
    </row>
    <row r="22" spans="5:12" ht="12.75">
      <c r="E22" s="100"/>
      <c r="F22" s="166"/>
      <c r="G22" s="166"/>
      <c r="I22" s="166"/>
      <c r="L22" s="295"/>
    </row>
    <row r="23" spans="5:12" ht="12.75">
      <c r="E23" s="100"/>
      <c r="F23" s="166"/>
      <c r="G23" s="166"/>
      <c r="I23" s="166"/>
      <c r="L23" s="295"/>
    </row>
    <row r="24" spans="5:12" ht="12.75">
      <c r="E24" s="100"/>
      <c r="F24" s="166"/>
      <c r="G24" s="166"/>
      <c r="I24" s="166"/>
      <c r="L24" s="295"/>
    </row>
    <row r="25" spans="5:12" ht="12.75">
      <c r="E25" s="100"/>
      <c r="F25" s="166"/>
      <c r="G25" s="166"/>
      <c r="I25" s="166"/>
      <c r="L25" s="295"/>
    </row>
    <row r="26" spans="5:12" ht="12.75">
      <c r="E26" s="100"/>
      <c r="F26" s="166"/>
      <c r="G26" s="166"/>
      <c r="I26" s="166"/>
      <c r="L26" s="295"/>
    </row>
    <row r="27" spans="5:12" ht="12.75">
      <c r="E27" s="100"/>
      <c r="F27" s="166"/>
      <c r="G27" s="166"/>
      <c r="I27" s="166"/>
      <c r="L27" s="295"/>
    </row>
    <row r="28" spans="5:12" ht="12.75">
      <c r="E28" s="100"/>
      <c r="F28" s="166"/>
      <c r="G28" s="166"/>
      <c r="I28" s="166"/>
      <c r="L28" s="295"/>
    </row>
    <row r="29" spans="5:12" ht="12.75">
      <c r="E29" s="100"/>
      <c r="F29" s="166"/>
      <c r="G29" s="166"/>
      <c r="I29" s="166"/>
      <c r="L29" s="295"/>
    </row>
    <row r="30" spans="5:12" ht="12.75">
      <c r="E30" s="100"/>
      <c r="F30" s="166"/>
      <c r="G30" s="166"/>
      <c r="I30" s="166"/>
      <c r="L30" s="295"/>
    </row>
    <row r="31" spans="5:12" ht="12.75">
      <c r="E31" s="100"/>
      <c r="F31" s="166"/>
      <c r="G31" s="166"/>
      <c r="I31" s="166"/>
      <c r="L31" s="295"/>
    </row>
    <row r="33" spans="8:9" ht="12.75">
      <c r="H33" s="91"/>
      <c r="I33" s="300"/>
    </row>
    <row r="35" spans="1:2" ht="18">
      <c r="A35" s="167"/>
      <c r="B35" s="19"/>
    </row>
    <row r="42" spans="1:9" ht="18">
      <c r="A42" s="167"/>
      <c r="B42" s="176"/>
      <c r="C42" s="168"/>
      <c r="E42" s="168"/>
      <c r="F42" s="168"/>
      <c r="G42" s="168"/>
      <c r="H42" s="168"/>
      <c r="I42" s="96"/>
    </row>
    <row r="43" spans="2:9" ht="12.75">
      <c r="B43" s="169"/>
      <c r="C43" s="168"/>
      <c r="E43" s="168"/>
      <c r="F43" s="168"/>
      <c r="G43" s="168"/>
      <c r="H43" s="168"/>
      <c r="I43" s="96"/>
    </row>
    <row r="44" spans="2:8" ht="12.75">
      <c r="B44" s="175"/>
      <c r="C44" s="168"/>
      <c r="E44" s="168"/>
      <c r="F44" s="168"/>
      <c r="G44" s="177"/>
      <c r="H44" s="177"/>
    </row>
    <row r="45" spans="2:7" ht="12.75">
      <c r="B45" s="175"/>
      <c r="C45" s="170"/>
      <c r="E45" s="170"/>
      <c r="F45" s="170"/>
      <c r="G45" s="170"/>
    </row>
    <row r="46" spans="2:10" ht="12.75">
      <c r="B46" s="172"/>
      <c r="F46" s="91"/>
      <c r="G46" s="212"/>
      <c r="H46" s="180"/>
      <c r="I46" s="173"/>
      <c r="J46" s="178"/>
    </row>
    <row r="47" spans="2:10" ht="12.75">
      <c r="B47" s="172"/>
      <c r="F47" s="91"/>
      <c r="G47" s="171"/>
      <c r="H47" s="180"/>
      <c r="I47" s="173"/>
      <c r="J47" s="178"/>
    </row>
    <row r="48" spans="2:10" ht="12.75">
      <c r="B48" s="175"/>
      <c r="G48" s="171"/>
      <c r="H48" s="180"/>
      <c r="I48" s="173"/>
      <c r="J48" s="178"/>
    </row>
    <row r="49" spans="2:10" ht="12.75">
      <c r="B49" s="256"/>
      <c r="C49" s="257"/>
      <c r="D49" s="168"/>
      <c r="E49" s="168"/>
      <c r="F49" s="168"/>
      <c r="G49" s="301"/>
      <c r="H49" s="178"/>
      <c r="J49" s="178"/>
    </row>
    <row r="50" spans="6:10" ht="12.75">
      <c r="F50" s="91"/>
      <c r="G50" s="212"/>
      <c r="J50" s="179"/>
    </row>
    <row r="53" ht="12.75">
      <c r="D53" s="179"/>
    </row>
    <row r="54" spans="4:8" ht="12.75">
      <c r="D54" s="179"/>
      <c r="H54" s="96"/>
    </row>
    <row r="55" spans="4:8" ht="12.75">
      <c r="D55" s="179"/>
      <c r="H55" s="168"/>
    </row>
    <row r="56" ht="12.75">
      <c r="D56" s="179"/>
    </row>
    <row r="57" spans="4:8" ht="12.75">
      <c r="D57" s="179"/>
      <c r="H57" s="96"/>
    </row>
    <row r="58" ht="12.75">
      <c r="D58" s="179"/>
    </row>
    <row r="59" ht="12.75">
      <c r="D59" s="179"/>
    </row>
    <row r="60" ht="12.75">
      <c r="D60" s="179"/>
    </row>
    <row r="61" spans="4:8" ht="12.75">
      <c r="D61" s="179"/>
      <c r="H61" s="169"/>
    </row>
    <row r="62" spans="4:8" ht="12.75">
      <c r="D62" s="179"/>
      <c r="H62" s="213"/>
    </row>
    <row r="63" spans="4:8" ht="12.75">
      <c r="D63" s="179"/>
      <c r="H63" s="213"/>
    </row>
    <row r="64" ht="12.75">
      <c r="D64" s="179"/>
    </row>
    <row r="72" spans="2:7" ht="12.75">
      <c r="B72" s="172"/>
      <c r="G72" s="173"/>
    </row>
    <row r="73" ht="12.75">
      <c r="G73" s="173"/>
    </row>
    <row r="74" spans="2:7" ht="12.75">
      <c r="B74" s="214"/>
      <c r="G74" s="215"/>
    </row>
    <row r="75" ht="12.75">
      <c r="G75" s="173"/>
    </row>
    <row r="76" ht="12.75">
      <c r="G76" s="174"/>
    </row>
  </sheetData>
  <sheetProtection/>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1" sqref="A1"/>
    </sheetView>
  </sheetViews>
  <sheetFormatPr defaultColWidth="8.8515625" defaultRowHeight="12.75"/>
  <cols>
    <col min="1" max="1" width="4.7109375" style="330" customWidth="1"/>
    <col min="2" max="2" width="6.7109375" style="412" customWidth="1"/>
    <col min="3" max="3" width="42.00390625" style="330" customWidth="1"/>
    <col min="4" max="4" width="17.7109375" style="424" customWidth="1"/>
    <col min="5" max="7" width="17.7109375" style="330" customWidth="1"/>
    <col min="8" max="8" width="17.7109375" style="595" customWidth="1"/>
    <col min="9" max="9" width="17.7109375" style="330" bestFit="1" customWidth="1"/>
    <col min="10" max="10" width="2.140625" style="314" customWidth="1"/>
    <col min="11" max="11" width="20.7109375" style="330" customWidth="1"/>
    <col min="12" max="14" width="17.7109375" style="330" customWidth="1"/>
    <col min="15" max="15" width="16.7109375" style="330" customWidth="1"/>
    <col min="16" max="16" width="2.140625" style="546" customWidth="1"/>
    <col min="17" max="16384" width="8.8515625" style="330" customWidth="1"/>
  </cols>
  <sheetData>
    <row r="1" ht="15.75">
      <c r="A1" s="888" t="s">
        <v>618</v>
      </c>
    </row>
    <row r="2" ht="15.75">
      <c r="A2" s="888" t="s">
        <v>619</v>
      </c>
    </row>
    <row r="3" spans="1:16" ht="15">
      <c r="A3" s="1500" t="s">
        <v>389</v>
      </c>
      <c r="B3" s="1500"/>
      <c r="C3" s="1500"/>
      <c r="D3" s="1500"/>
      <c r="E3" s="1500"/>
      <c r="F3" s="1500"/>
      <c r="G3" s="1500"/>
      <c r="H3" s="1500"/>
      <c r="I3" s="1500"/>
      <c r="J3" s="1500"/>
      <c r="K3" s="1500"/>
      <c r="L3" s="1500"/>
      <c r="M3" s="1500"/>
      <c r="N3" s="1500"/>
      <c r="O3" s="1500"/>
      <c r="P3" s="594"/>
    </row>
    <row r="4" spans="1:16" ht="15">
      <c r="A4" s="1501" t="str">
        <f>"Cost of Service Formula Rate Using "&amp;'I&amp;M TCOS'!L2&amp;" FF1 Balances"</f>
        <v>Cost of Service Formula Rate Using 2017 FF1 Balances</v>
      </c>
      <c r="B4" s="1501"/>
      <c r="C4" s="1501"/>
      <c r="D4" s="1501"/>
      <c r="E4" s="1501"/>
      <c r="F4" s="1501"/>
      <c r="G4" s="1501"/>
      <c r="H4" s="1501"/>
      <c r="I4" s="1501"/>
      <c r="J4" s="1501"/>
      <c r="K4" s="1501"/>
      <c r="L4" s="1501"/>
      <c r="M4" s="1501"/>
      <c r="N4" s="1501"/>
      <c r="O4" s="1501"/>
      <c r="P4" s="594"/>
    </row>
    <row r="5" spans="1:16" ht="15">
      <c r="A5" s="1501" t="s">
        <v>470</v>
      </c>
      <c r="B5" s="1501"/>
      <c r="C5" s="1501"/>
      <c r="D5" s="1501"/>
      <c r="E5" s="1501"/>
      <c r="F5" s="1501"/>
      <c r="G5" s="1501"/>
      <c r="H5" s="1501"/>
      <c r="I5" s="1501"/>
      <c r="J5" s="1501"/>
      <c r="K5" s="1501"/>
      <c r="L5" s="1501"/>
      <c r="M5" s="1501"/>
      <c r="N5" s="1501"/>
      <c r="O5" s="1501"/>
      <c r="P5" s="594"/>
    </row>
    <row r="6" spans="1:16" ht="15">
      <c r="A6" s="1502" t="str">
        <f>'I&amp;M TCOS'!F7</f>
        <v>INDIANA MICHIGAN POWER COMPANY</v>
      </c>
      <c r="B6" s="1502"/>
      <c r="C6" s="1502"/>
      <c r="D6" s="1502"/>
      <c r="E6" s="1502"/>
      <c r="F6" s="1502"/>
      <c r="G6" s="1502"/>
      <c r="H6" s="1502"/>
      <c r="I6" s="1502"/>
      <c r="J6" s="1502"/>
      <c r="K6" s="1502"/>
      <c r="L6" s="1502"/>
      <c r="M6" s="1502"/>
      <c r="N6" s="1502"/>
      <c r="O6" s="1502"/>
      <c r="P6" s="594"/>
    </row>
    <row r="7" ht="12.75">
      <c r="P7" s="594"/>
    </row>
    <row r="8" spans="1:16" ht="20.25">
      <c r="A8" s="596"/>
      <c r="C8" s="412"/>
      <c r="N8" s="597" t="str">
        <f>"Page "&amp;P8&amp;" of "</f>
        <v>Page 1 of </v>
      </c>
      <c r="O8" s="598">
        <f>COUNT(P$8:P$57923)</f>
        <v>2</v>
      </c>
      <c r="P8" s="599">
        <v>1</v>
      </c>
    </row>
    <row r="9" spans="3:16" ht="18">
      <c r="C9" s="600"/>
      <c r="P9" s="594"/>
    </row>
    <row r="10" ht="12.75">
      <c r="P10" s="594"/>
    </row>
    <row r="11" spans="2:16" ht="18">
      <c r="B11" s="601" t="s">
        <v>173</v>
      </c>
      <c r="C11" s="1523" t="str">
        <f>"Calculate Return and Income Taxes with "&amp;F17&amp;" basis point ROE increase for Projects Qualified for Regional Billing."</f>
        <v>Calculate Return and Income Taxes with  basis point ROE increase for Projects Qualified for Regional Billing.</v>
      </c>
      <c r="D11" s="1451"/>
      <c r="E11" s="1451"/>
      <c r="F11" s="1451"/>
      <c r="G11" s="1451"/>
      <c r="H11" s="1451"/>
      <c r="P11" s="594"/>
    </row>
    <row r="12" spans="3:16" ht="18.75" customHeight="1">
      <c r="C12" s="1451"/>
      <c r="D12" s="1451"/>
      <c r="E12" s="1451"/>
      <c r="F12" s="1451"/>
      <c r="G12" s="1451"/>
      <c r="H12" s="1451"/>
      <c r="P12" s="594"/>
    </row>
    <row r="13" spans="3:16" ht="15.75" customHeight="1">
      <c r="C13" s="531"/>
      <c r="D13" s="531"/>
      <c r="E13" s="531"/>
      <c r="F13" s="531"/>
      <c r="G13" s="531"/>
      <c r="H13" s="531"/>
      <c r="P13" s="594"/>
    </row>
    <row r="14" spans="3:16" ht="15.75">
      <c r="C14" s="602" t="str">
        <f>"A.   Determine 'R' with hypothetical "&amp;F17&amp;" basis point increase in ROE for Identified Projects"</f>
        <v>A.   Determine 'R' with hypothetical  basis point increase in ROE for Identified Projects</v>
      </c>
      <c r="P14" s="594"/>
    </row>
    <row r="15" spans="3:16" ht="12.75">
      <c r="C15" s="412"/>
      <c r="P15" s="594"/>
    </row>
    <row r="16" spans="3:16" ht="12.75">
      <c r="C16" s="603" t="str">
        <f>"   ROE w/o incentives  (TCOS, ln "&amp;'I&amp;M TCOS'!B255&amp;")"</f>
        <v>   ROE w/o incentives  (TCOS, ln 156)</v>
      </c>
      <c r="E16" s="604"/>
      <c r="F16" s="605">
        <f>'I&amp;M TCOS'!J255</f>
        <v>0.1149</v>
      </c>
      <c r="G16" s="604"/>
      <c r="H16" s="606"/>
      <c r="I16" s="606"/>
      <c r="J16" s="607"/>
      <c r="K16" s="606"/>
      <c r="L16" s="606"/>
      <c r="M16" s="606"/>
      <c r="N16" s="606"/>
      <c r="O16" s="606"/>
      <c r="P16" s="607"/>
    </row>
    <row r="17" spans="3:10" ht="12.75">
      <c r="C17" s="603" t="s">
        <v>254</v>
      </c>
      <c r="E17" s="604"/>
      <c r="F17" s="849"/>
      <c r="G17" s="608"/>
      <c r="H17" s="606"/>
      <c r="I17" s="606"/>
      <c r="J17" s="607"/>
    </row>
    <row r="18" spans="3:10" ht="12.75">
      <c r="C18" s="603" t="str">
        <f>"   ROE with additional "&amp;F17&amp;" basis point incentive"</f>
        <v>   ROE with additional  basis point incentive</v>
      </c>
      <c r="D18" s="604"/>
      <c r="E18" s="604"/>
      <c r="F18" s="609">
        <f>IF((F16+(F17/10000)&gt;0.1274),"ERROR",F16+(F17/10000))</f>
        <v>0.1149</v>
      </c>
      <c r="G18" s="610"/>
      <c r="H18" s="606"/>
      <c r="I18" s="606"/>
      <c r="J18" s="607"/>
    </row>
    <row r="19" spans="3:10" ht="12.75">
      <c r="C19" s="603" t="str">
        <f>"   Determine R  ( cost of long term debt, cost of preferred stock and equity percentage is from the TCOS, lns "&amp;'I&amp;M TCOS'!B253&amp;" through"&amp;'I&amp;M TCOS'!B255&amp;")"</f>
        <v>   Determine R  ( cost of long term debt, cost of preferred stock and equity percentage is from the TCOS, lns 154 through156)</v>
      </c>
      <c r="E19" s="604"/>
      <c r="F19" s="611"/>
      <c r="G19" s="604"/>
      <c r="H19" s="606"/>
      <c r="I19" s="606"/>
      <c r="J19" s="607"/>
    </row>
    <row r="20" spans="3:10" ht="12.75">
      <c r="C20" s="607"/>
      <c r="D20" s="612" t="s">
        <v>148</v>
      </c>
      <c r="E20" s="612" t="s">
        <v>147</v>
      </c>
      <c r="F20" s="613" t="s">
        <v>255</v>
      </c>
      <c r="G20" s="604"/>
      <c r="H20" s="606"/>
      <c r="I20" s="606"/>
      <c r="J20" s="607"/>
    </row>
    <row r="21" spans="3:15" ht="13.5" thickBot="1">
      <c r="C21" s="614" t="s">
        <v>259</v>
      </c>
      <c r="D21" s="615">
        <f>'I&amp;M TCOS'!H253</f>
        <v>0.4921471775561808</v>
      </c>
      <c r="E21" s="616">
        <f>'I&amp;M TCOS'!J253</f>
        <v>0.04846982565729089</v>
      </c>
      <c r="F21" s="617">
        <f>E21*D21</f>
        <v>0.023854287893875867</v>
      </c>
      <c r="G21" s="604"/>
      <c r="H21" s="606"/>
      <c r="I21" s="618"/>
      <c r="J21" s="619"/>
      <c r="K21" s="541"/>
      <c r="L21" s="541"/>
      <c r="M21" s="541"/>
      <c r="N21" s="541"/>
      <c r="O21" s="541"/>
    </row>
    <row r="22" spans="3:16" ht="12.75">
      <c r="C22" s="614" t="s">
        <v>260</v>
      </c>
      <c r="D22" s="615">
        <f>'I&amp;M TCOS'!H254</f>
        <v>0</v>
      </c>
      <c r="E22" s="616">
        <f>'I&amp;M TCOS'!J254</f>
        <v>0</v>
      </c>
      <c r="F22" s="617">
        <f>E22*D22</f>
        <v>0</v>
      </c>
      <c r="G22" s="620"/>
      <c r="H22" s="620"/>
      <c r="I22" s="621"/>
      <c r="J22" s="622"/>
      <c r="K22" s="1517" t="s">
        <v>453</v>
      </c>
      <c r="L22" s="1518"/>
      <c r="M22" s="1518"/>
      <c r="N22" s="1518"/>
      <c r="O22" s="1519"/>
      <c r="P22" s="622"/>
    </row>
    <row r="23" spans="3:16" ht="12.75">
      <c r="C23" s="623" t="s">
        <v>246</v>
      </c>
      <c r="D23" s="615">
        <f>'I&amp;M TCOS'!H255</f>
        <v>0.5078528224438192</v>
      </c>
      <c r="E23" s="616">
        <f>+F18</f>
        <v>0.1149</v>
      </c>
      <c r="F23" s="624">
        <f>E23*D23</f>
        <v>0.05835228929879483</v>
      </c>
      <c r="G23" s="620"/>
      <c r="H23" s="620"/>
      <c r="I23" s="621"/>
      <c r="J23" s="622"/>
      <c r="K23" s="1520"/>
      <c r="L23" s="1521"/>
      <c r="M23" s="1521"/>
      <c r="N23" s="1521"/>
      <c r="O23" s="1522"/>
      <c r="P23" s="622"/>
    </row>
    <row r="24" spans="3:16" ht="12.75">
      <c r="C24" s="625"/>
      <c r="D24" s="330"/>
      <c r="E24" s="626" t="s">
        <v>262</v>
      </c>
      <c r="F24" s="617">
        <f>SUM(F21:F23)</f>
        <v>0.0822065771926707</v>
      </c>
      <c r="G24" s="620"/>
      <c r="H24" s="620"/>
      <c r="I24" s="621"/>
      <c r="J24" s="622"/>
      <c r="K24" s="627"/>
      <c r="L24" s="628"/>
      <c r="M24" s="629" t="s">
        <v>256</v>
      </c>
      <c r="N24" s="629" t="s">
        <v>257</v>
      </c>
      <c r="O24" s="630" t="s">
        <v>258</v>
      </c>
      <c r="P24" s="622"/>
    </row>
    <row r="25" spans="3:16" ht="12.75">
      <c r="C25" s="546"/>
      <c r="D25" s="631"/>
      <c r="E25" s="631"/>
      <c r="F25" s="620"/>
      <c r="G25" s="620"/>
      <c r="H25" s="620"/>
      <c r="I25" s="620"/>
      <c r="J25" s="632"/>
      <c r="K25" s="633"/>
      <c r="L25" s="634"/>
      <c r="M25" s="634"/>
      <c r="N25" s="634"/>
      <c r="O25" s="635"/>
      <c r="P25" s="632"/>
    </row>
    <row r="26" spans="3:16" ht="16.5" thickBot="1">
      <c r="C26" s="602" t="str">
        <f>"B.   Determine Return using 'R' with hypothetical "&amp;F17&amp;" basis point ROE increase for Identified Projects."</f>
        <v>B.   Determine Return using 'R' with hypothetical  basis point ROE increase for Identified Projects.</v>
      </c>
      <c r="D26" s="631"/>
      <c r="E26" s="631"/>
      <c r="F26" s="636"/>
      <c r="G26" s="620"/>
      <c r="H26" s="604"/>
      <c r="I26" s="620"/>
      <c r="J26" s="632"/>
      <c r="K26" s="637" t="s">
        <v>263</v>
      </c>
      <c r="L26" s="638">
        <f>'I&amp;M TCOS'!L2</f>
        <v>2017</v>
      </c>
      <c r="M26" s="850" t="e">
        <f>N88+#REF!+#REF!+#REF!+#REF!+#REF!+#REF!+#REF!+#REF!+#REF!+#REF!</f>
        <v>#N/A</v>
      </c>
      <c r="N26" s="850" t="e">
        <f>N89+#REF!+#REF!+#REF!+#REF!+#REF!+#REF!+#REF!+#REF!+#REF!+#REF!</f>
        <v>#N/A</v>
      </c>
      <c r="O26" s="639" t="e">
        <f>+N26-M26</f>
        <v>#N/A</v>
      </c>
      <c r="P26" s="632"/>
    </row>
    <row r="27" spans="3:16" ht="12.75">
      <c r="C27" s="607"/>
      <c r="D27" s="631"/>
      <c r="E27" s="631"/>
      <c r="F27" s="632"/>
      <c r="G27" s="632"/>
      <c r="H27" s="632"/>
      <c r="I27" s="632"/>
      <c r="J27" s="632"/>
      <c r="K27" s="640"/>
      <c r="L27" s="640"/>
      <c r="M27" s="640"/>
      <c r="N27" s="640"/>
      <c r="O27" s="640"/>
      <c r="P27" s="632"/>
    </row>
    <row r="28" spans="3:16" ht="12.75">
      <c r="C28" s="641" t="str">
        <f>"   Rate Base  (TCOS, ln "&amp;'I&amp;M TCOS'!B123&amp;")"</f>
        <v>   Rate Base  (TCOS, ln 68)</v>
      </c>
      <c r="D28" s="604"/>
      <c r="F28" s="642">
        <f>'I&amp;M TCOS'!L123</f>
        <v>702899958.3661119</v>
      </c>
      <c r="G28" s="632"/>
      <c r="H28" s="632"/>
      <c r="I28" s="632"/>
      <c r="J28" s="632"/>
      <c r="K28" s="640"/>
      <c r="L28" s="640"/>
      <c r="M28" s="640"/>
      <c r="N28" s="640"/>
      <c r="O28" s="643"/>
      <c r="P28" s="632"/>
    </row>
    <row r="29" spans="3:16" ht="12.75">
      <c r="C29" s="607" t="s">
        <v>476</v>
      </c>
      <c r="D29" s="644"/>
      <c r="F29" s="617">
        <f>F24</f>
        <v>0.0822065771926707</v>
      </c>
      <c r="G29" s="632"/>
      <c r="H29" s="632"/>
      <c r="I29" s="632"/>
      <c r="J29" s="632"/>
      <c r="K29" s="632"/>
      <c r="L29" s="632"/>
      <c r="M29" s="632"/>
      <c r="N29" s="632"/>
      <c r="O29" s="632"/>
      <c r="P29" s="632"/>
    </row>
    <row r="30" spans="3:16" ht="12.75">
      <c r="C30" s="645" t="s">
        <v>264</v>
      </c>
      <c r="D30" s="645"/>
      <c r="F30" s="621">
        <f>F28*F29</f>
        <v>57782999.6861488</v>
      </c>
      <c r="G30" s="632"/>
      <c r="H30" s="632"/>
      <c r="I30" s="622"/>
      <c r="J30" s="622"/>
      <c r="K30" s="622"/>
      <c r="L30" s="622"/>
      <c r="M30" s="622"/>
      <c r="N30" s="622"/>
      <c r="O30" s="632"/>
      <c r="P30" s="622"/>
    </row>
    <row r="31" spans="3:16" ht="12.75">
      <c r="C31" s="646"/>
      <c r="D31" s="606"/>
      <c r="E31" s="606"/>
      <c r="F31" s="632"/>
      <c r="G31" s="632"/>
      <c r="H31" s="632"/>
      <c r="I31" s="622"/>
      <c r="J31" s="622"/>
      <c r="K31" s="622"/>
      <c r="L31" s="622"/>
      <c r="M31" s="622"/>
      <c r="N31" s="622"/>
      <c r="O31" s="632"/>
      <c r="P31" s="622"/>
    </row>
    <row r="32" spans="3:16" ht="15.75">
      <c r="C32" s="602" t="str">
        <f>"C.   Determine Income Taxes using Return with hypothetical "&amp;F17&amp;" basis point ROE increase for Identified Projects."</f>
        <v>C.   Determine Income Taxes using Return with hypothetical  basis point ROE increase for Identified Projects.</v>
      </c>
      <c r="D32" s="647"/>
      <c r="E32" s="647"/>
      <c r="F32" s="648"/>
      <c r="G32" s="648"/>
      <c r="H32" s="648"/>
      <c r="I32" s="649"/>
      <c r="J32" s="649"/>
      <c r="K32" s="649"/>
      <c r="L32" s="649"/>
      <c r="M32" s="649"/>
      <c r="N32" s="649"/>
      <c r="O32" s="648"/>
      <c r="P32" s="649"/>
    </row>
    <row r="33" spans="3:16" ht="12.75">
      <c r="C33" s="625"/>
      <c r="D33" s="606"/>
      <c r="E33" s="606"/>
      <c r="F33" s="632"/>
      <c r="G33" s="632"/>
      <c r="H33" s="632"/>
      <c r="I33" s="622"/>
      <c r="J33" s="622"/>
      <c r="K33" s="622"/>
      <c r="L33" s="622"/>
      <c r="M33" s="622"/>
      <c r="N33" s="622"/>
      <c r="O33" s="632"/>
      <c r="P33" s="622"/>
    </row>
    <row r="34" spans="3:16" ht="12.75">
      <c r="C34" s="607" t="s">
        <v>265</v>
      </c>
      <c r="D34" s="626"/>
      <c r="F34" s="650">
        <f>F30</f>
        <v>57782999.6861488</v>
      </c>
      <c r="G34" s="632"/>
      <c r="H34" s="632"/>
      <c r="I34" s="632"/>
      <c r="J34" s="632"/>
      <c r="K34" s="632"/>
      <c r="L34" s="632"/>
      <c r="M34" s="632"/>
      <c r="N34" s="632"/>
      <c r="O34" s="632"/>
      <c r="P34" s="632"/>
    </row>
    <row r="35" spans="3:16" ht="12.75">
      <c r="C35" s="641" t="str">
        <f>"   Effective Tax Rate  (TCOS, ln "&amp;'I&amp;M TCOS'!B188&amp;")"</f>
        <v>   Effective Tax Rate  (TCOS, ln 114)</v>
      </c>
      <c r="D35" s="569"/>
      <c r="F35" s="651">
        <f>'I&amp;M TCOS'!G188</f>
        <v>0.4494515419130636</v>
      </c>
      <c r="G35" s="546"/>
      <c r="H35" s="652"/>
      <c r="I35" s="546"/>
      <c r="J35" s="594"/>
      <c r="K35" s="546"/>
      <c r="L35" s="546"/>
      <c r="M35" s="546"/>
      <c r="N35" s="546"/>
      <c r="O35" s="546"/>
      <c r="P35" s="594"/>
    </row>
    <row r="36" spans="3:16" ht="12.75">
      <c r="C36" s="646" t="s">
        <v>266</v>
      </c>
      <c r="D36" s="569"/>
      <c r="F36" s="653">
        <f>F34*F35</f>
        <v>25970658.305301648</v>
      </c>
      <c r="G36" s="546"/>
      <c r="H36" s="652"/>
      <c r="I36" s="546"/>
      <c r="J36" s="594"/>
      <c r="K36" s="546"/>
      <c r="L36" s="546"/>
      <c r="M36" s="546"/>
      <c r="N36" s="546"/>
      <c r="O36" s="546"/>
      <c r="P36" s="594"/>
    </row>
    <row r="37" spans="3:16" ht="15">
      <c r="C37" s="625" t="s">
        <v>304</v>
      </c>
      <c r="D37" s="476"/>
      <c r="F37" s="654">
        <f>'I&amp;M TCOS'!L197</f>
        <v>-1415874.9227568654</v>
      </c>
      <c r="G37" s="476"/>
      <c r="H37" s="476"/>
      <c r="I37" s="476"/>
      <c r="J37" s="476"/>
      <c r="K37" s="476"/>
      <c r="L37" s="476"/>
      <c r="M37" s="476"/>
      <c r="N37" s="476"/>
      <c r="O37" s="388"/>
      <c r="P37" s="476"/>
    </row>
    <row r="38" spans="3:16" ht="15">
      <c r="C38" s="625" t="s">
        <v>536</v>
      </c>
      <c r="D38" s="476"/>
      <c r="F38" s="654">
        <f>'I&amp;M TCOS'!L198</f>
        <v>-81554.79340192716</v>
      </c>
      <c r="G38" s="476"/>
      <c r="H38" s="476"/>
      <c r="I38" s="476"/>
      <c r="J38" s="476"/>
      <c r="K38" s="476"/>
      <c r="L38" s="476"/>
      <c r="M38" s="476"/>
      <c r="N38" s="476"/>
      <c r="O38" s="388"/>
      <c r="P38" s="476"/>
    </row>
    <row r="39" spans="3:16" ht="15">
      <c r="C39" s="625" t="s">
        <v>537</v>
      </c>
      <c r="D39" s="476"/>
      <c r="F39" s="655">
        <f>'I&amp;M TCOS'!L199</f>
        <v>3307272.5788012412</v>
      </c>
      <c r="G39" s="476"/>
      <c r="H39" s="476"/>
      <c r="I39" s="476"/>
      <c r="J39" s="476"/>
      <c r="K39" s="476"/>
      <c r="L39" s="476"/>
      <c r="M39" s="476"/>
      <c r="N39" s="476"/>
      <c r="O39" s="388"/>
      <c r="P39" s="476"/>
    </row>
    <row r="40" spans="3:16" ht="15">
      <c r="C40" s="646" t="s">
        <v>267</v>
      </c>
      <c r="D40" s="476"/>
      <c r="F40" s="654">
        <f>F36+F37+F38+F39</f>
        <v>27780501.167944096</v>
      </c>
      <c r="G40" s="476"/>
      <c r="H40" s="476"/>
      <c r="I40" s="476"/>
      <c r="J40" s="476"/>
      <c r="K40" s="476"/>
      <c r="L40" s="476"/>
      <c r="M40" s="476"/>
      <c r="N40" s="476"/>
      <c r="O40" s="346"/>
      <c r="P40" s="476"/>
    </row>
    <row r="41" spans="3:16" ht="12.75" customHeight="1">
      <c r="C41" s="396"/>
      <c r="D41" s="476"/>
      <c r="E41" s="476"/>
      <c r="F41" s="476"/>
      <c r="G41" s="476"/>
      <c r="H41" s="476"/>
      <c r="I41" s="476"/>
      <c r="J41" s="476"/>
      <c r="K41" s="476"/>
      <c r="L41" s="476"/>
      <c r="M41" s="476"/>
      <c r="N41" s="476"/>
      <c r="O41" s="346"/>
      <c r="P41" s="476"/>
    </row>
    <row r="42" spans="2:16" ht="18.75">
      <c r="B42" s="601" t="s">
        <v>174</v>
      </c>
      <c r="C42" s="600" t="str">
        <f>"Calculate Net Plant Carrying Charge Rate (Fixed Charge Rate or FCR) with hypothetical "&amp;F17&amp;""</f>
        <v>Calculate Net Plant Carrying Charge Rate (Fixed Charge Rate or FCR) with hypothetical </v>
      </c>
      <c r="D42" s="476"/>
      <c r="E42" s="476"/>
      <c r="F42" s="476"/>
      <c r="G42" s="476"/>
      <c r="H42" s="476"/>
      <c r="I42" s="476"/>
      <c r="J42" s="476"/>
      <c r="K42" s="476"/>
      <c r="L42" s="476"/>
      <c r="M42" s="476"/>
      <c r="N42" s="476"/>
      <c r="O42" s="346"/>
      <c r="P42" s="476"/>
    </row>
    <row r="43" spans="3:16" ht="18.75" customHeight="1">
      <c r="C43" s="600" t="str">
        <f>"basis point ROE increase."</f>
        <v>basis point ROE increase.</v>
      </c>
      <c r="D43" s="476"/>
      <c r="E43" s="476"/>
      <c r="F43" s="476"/>
      <c r="G43" s="476"/>
      <c r="H43" s="476"/>
      <c r="I43" s="476"/>
      <c r="J43" s="476"/>
      <c r="K43" s="476"/>
      <c r="L43" s="476"/>
      <c r="M43" s="476"/>
      <c r="N43" s="476"/>
      <c r="O43" s="346"/>
      <c r="P43" s="476"/>
    </row>
    <row r="44" spans="3:16" ht="12.75" customHeight="1">
      <c r="C44" s="600"/>
      <c r="D44" s="476"/>
      <c r="E44" s="476"/>
      <c r="F44" s="476"/>
      <c r="G44" s="476"/>
      <c r="H44" s="476"/>
      <c r="I44" s="476"/>
      <c r="J44" s="476"/>
      <c r="K44" s="476"/>
      <c r="L44" s="476"/>
      <c r="M44" s="476"/>
      <c r="N44" s="476"/>
      <c r="O44" s="346"/>
      <c r="P44" s="476"/>
    </row>
    <row r="45" spans="3:16" ht="15.75">
      <c r="C45" s="602" t="s">
        <v>467</v>
      </c>
      <c r="D45" s="476"/>
      <c r="E45" s="476"/>
      <c r="F45" s="475"/>
      <c r="G45" s="476"/>
      <c r="H45" s="476"/>
      <c r="I45" s="476"/>
      <c r="J45" s="476"/>
      <c r="K45" s="476"/>
      <c r="L45" s="476"/>
      <c r="M45" s="476"/>
      <c r="N45" s="476"/>
      <c r="O45" s="346"/>
      <c r="P45" s="476"/>
    </row>
    <row r="46" spans="2:16" ht="12.75">
      <c r="B46" s="582"/>
      <c r="C46" s="603"/>
      <c r="D46" s="656"/>
      <c r="E46" s="656"/>
      <c r="F46" s="656"/>
      <c r="G46" s="656"/>
      <c r="H46" s="656"/>
      <c r="I46" s="656"/>
      <c r="J46" s="656"/>
      <c r="K46" s="656"/>
      <c r="L46" s="656"/>
      <c r="M46" s="656"/>
      <c r="N46" s="656"/>
      <c r="O46" s="654"/>
      <c r="P46" s="656"/>
    </row>
    <row r="47" spans="2:16" ht="12.75" customHeight="1">
      <c r="B47" s="582"/>
      <c r="C47" s="641" t="str">
        <f>"   Annual Revenue Requirement  (TCOS, ln "&amp;'I&amp;M TCOS'!B11&amp;")"</f>
        <v>   Annual Revenue Requirement  (TCOS, ln 1)</v>
      </c>
      <c r="D47" s="656"/>
      <c r="E47" s="656"/>
      <c r="G47" s="654">
        <f>'I&amp;M TCOS'!L11</f>
        <v>140896973.35194162</v>
      </c>
      <c r="H47" s="656"/>
      <c r="I47" s="656"/>
      <c r="J47" s="656"/>
      <c r="K47" s="656"/>
      <c r="L47" s="656"/>
      <c r="M47" s="656"/>
      <c r="N47" s="656"/>
      <c r="O47" s="654"/>
      <c r="P47" s="656"/>
    </row>
    <row r="48" spans="2:16" ht="12.75" customHeight="1">
      <c r="B48" s="582"/>
      <c r="C48" s="641" t="str">
        <f>"   Lease Payments (TCOS, Ln "&amp;'I&amp;M TCOS'!B166&amp;")"</f>
        <v>   Lease Payments (TCOS, Ln 95)</v>
      </c>
      <c r="D48" s="656"/>
      <c r="E48" s="656"/>
      <c r="G48" s="654">
        <f>'I&amp;M TCOS'!L166</f>
        <v>0</v>
      </c>
      <c r="H48" s="656"/>
      <c r="I48" s="656"/>
      <c r="J48" s="656"/>
      <c r="K48" s="656"/>
      <c r="L48" s="656"/>
      <c r="M48" s="656"/>
      <c r="N48" s="656"/>
      <c r="O48" s="654"/>
      <c r="P48" s="656"/>
    </row>
    <row r="49" spans="2:16" ht="12.75">
      <c r="B49" s="582"/>
      <c r="C49" s="641" t="str">
        <f>"   Return  (TCOS, ln "&amp;'I&amp;M TCOS'!B203&amp;")"</f>
        <v>   Return  (TCOS, ln 126)</v>
      </c>
      <c r="D49" s="656"/>
      <c r="E49" s="656"/>
      <c r="G49" s="657">
        <f>'I&amp;M TCOS'!L203</f>
        <v>57782999.6861488</v>
      </c>
      <c r="H49" s="658"/>
      <c r="I49" s="658"/>
      <c r="J49" s="658"/>
      <c r="K49" s="658"/>
      <c r="L49" s="658"/>
      <c r="M49" s="658"/>
      <c r="N49" s="658"/>
      <c r="O49" s="654"/>
      <c r="P49" s="658"/>
    </row>
    <row r="50" spans="2:16" ht="12.75">
      <c r="B50" s="582"/>
      <c r="C50" s="641" t="str">
        <f>"   Income Taxes  (TCOS, ln "&amp;'I&amp;M TCOS'!B201&amp;")"</f>
        <v>   Income Taxes  (TCOS, ln 125)</v>
      </c>
      <c r="D50" s="656"/>
      <c r="E50" s="656"/>
      <c r="G50" s="659">
        <f>'I&amp;M TCOS'!L201</f>
        <v>27780501.167944096</v>
      </c>
      <c r="H50" s="656"/>
      <c r="I50" s="660"/>
      <c r="J50" s="660"/>
      <c r="K50" s="660"/>
      <c r="L50" s="660"/>
      <c r="M50" s="660"/>
      <c r="N50" s="660"/>
      <c r="O50" s="656"/>
      <c r="P50" s="660"/>
    </row>
    <row r="51" spans="2:16" ht="12.75">
      <c r="B51" s="582"/>
      <c r="C51" s="661" t="s">
        <v>596</v>
      </c>
      <c r="D51" s="656"/>
      <c r="E51" s="656"/>
      <c r="G51" s="657">
        <f>G47-G49-G50-G48</f>
        <v>55333472.49784873</v>
      </c>
      <c r="H51" s="656"/>
      <c r="I51" s="662"/>
      <c r="J51" s="662"/>
      <c r="K51" s="662"/>
      <c r="L51" s="662"/>
      <c r="M51" s="662"/>
      <c r="N51" s="662"/>
      <c r="O51" s="662"/>
      <c r="P51" s="662"/>
    </row>
    <row r="52" spans="2:16" ht="12.75">
      <c r="B52" s="582"/>
      <c r="C52" s="603"/>
      <c r="D52" s="656"/>
      <c r="E52" s="656"/>
      <c r="F52" s="654"/>
      <c r="G52" s="663"/>
      <c r="H52" s="664"/>
      <c r="I52" s="664"/>
      <c r="J52" s="664"/>
      <c r="K52" s="664"/>
      <c r="L52" s="664"/>
      <c r="M52" s="664"/>
      <c r="N52" s="664"/>
      <c r="O52" s="664"/>
      <c r="P52" s="664"/>
    </row>
    <row r="53" spans="2:16" ht="15.75">
      <c r="B53" s="582"/>
      <c r="C53" s="602" t="str">
        <f>"B.   Determine Annual Revenue Requirement with hypothetical "&amp;F17&amp;" basis point increase in ROE."</f>
        <v>B.   Determine Annual Revenue Requirement with hypothetical  basis point increase in ROE.</v>
      </c>
      <c r="D53" s="665"/>
      <c r="E53" s="665"/>
      <c r="F53" s="654"/>
      <c r="G53" s="663"/>
      <c r="H53" s="664"/>
      <c r="I53" s="664"/>
      <c r="J53" s="664"/>
      <c r="K53" s="664"/>
      <c r="L53" s="664"/>
      <c r="M53" s="664"/>
      <c r="N53" s="664"/>
      <c r="O53" s="664"/>
      <c r="P53" s="664"/>
    </row>
    <row r="54" spans="2:16" ht="12.75">
      <c r="B54" s="582"/>
      <c r="C54" s="603"/>
      <c r="D54" s="665"/>
      <c r="E54" s="665"/>
      <c r="F54" s="654"/>
      <c r="G54" s="663"/>
      <c r="H54" s="664"/>
      <c r="I54" s="664"/>
      <c r="J54" s="664"/>
      <c r="K54" s="664"/>
      <c r="L54" s="664"/>
      <c r="M54" s="664"/>
      <c r="N54" s="664"/>
      <c r="O54" s="664"/>
      <c r="P54" s="664"/>
    </row>
    <row r="55" spans="2:16" ht="12.75">
      <c r="B55" s="582"/>
      <c r="C55" s="603" t="str">
        <f>C51</f>
        <v>   Annual Revenue Requirement, Less Lease Payments, Return and Taxes</v>
      </c>
      <c r="D55" s="665"/>
      <c r="E55" s="665"/>
      <c r="G55" s="654">
        <f>G51</f>
        <v>55333472.49784873</v>
      </c>
      <c r="H55" s="656"/>
      <c r="I55" s="656"/>
      <c r="J55" s="656"/>
      <c r="K55" s="656"/>
      <c r="L55" s="656"/>
      <c r="M55" s="656"/>
      <c r="N55" s="656"/>
      <c r="O55" s="666"/>
      <c r="P55" s="656"/>
    </row>
    <row r="56" spans="2:16" ht="12.75">
      <c r="B56" s="582"/>
      <c r="C56" s="607" t="s">
        <v>301</v>
      </c>
      <c r="D56" s="667"/>
      <c r="E56" s="661"/>
      <c r="G56" s="668">
        <f>F30</f>
        <v>57782999.6861488</v>
      </c>
      <c r="H56" s="669"/>
      <c r="I56" s="661"/>
      <c r="J56" s="661"/>
      <c r="K56" s="661"/>
      <c r="L56" s="661"/>
      <c r="M56" s="661"/>
      <c r="N56" s="661"/>
      <c r="O56" s="661"/>
      <c r="P56" s="661"/>
    </row>
    <row r="57" spans="2:16" ht="12.75" customHeight="1">
      <c r="B57" s="582"/>
      <c r="C57" s="625" t="s">
        <v>268</v>
      </c>
      <c r="D57" s="656"/>
      <c r="E57" s="656"/>
      <c r="G57" s="659">
        <f>F40</f>
        <v>27780501.167944096</v>
      </c>
      <c r="H57" s="652"/>
      <c r="I57" s="546"/>
      <c r="J57" s="594"/>
      <c r="K57" s="546"/>
      <c r="L57" s="546"/>
      <c r="M57" s="546"/>
      <c r="N57" s="546"/>
      <c r="O57" s="546"/>
      <c r="P57" s="594"/>
    </row>
    <row r="58" spans="2:16" ht="12.75">
      <c r="B58" s="582"/>
      <c r="C58" s="661" t="str">
        <f>"   Annual Revenue Requirement, with "&amp;F17&amp;" Basis Point ROE increase"</f>
        <v>   Annual Revenue Requirement, with  Basis Point ROE increase</v>
      </c>
      <c r="D58" s="569"/>
      <c r="E58" s="546"/>
      <c r="G58" s="653">
        <f>SUM(G55:G57)</f>
        <v>140896973.35194162</v>
      </c>
      <c r="H58" s="652"/>
      <c r="I58" s="546"/>
      <c r="J58" s="594"/>
      <c r="K58" s="546"/>
      <c r="L58" s="546"/>
      <c r="M58" s="546"/>
      <c r="N58" s="546"/>
      <c r="O58" s="546"/>
      <c r="P58" s="594"/>
    </row>
    <row r="59" spans="2:16" ht="12.75">
      <c r="B59" s="582"/>
      <c r="C59" s="641" t="str">
        <f>"   Depreciation  (TCOS, ln "&amp;'I&amp;M TCOS'!B172&amp;")"</f>
        <v>   Depreciation  (TCOS, ln 100)</v>
      </c>
      <c r="D59" s="569"/>
      <c r="E59" s="546"/>
      <c r="G59" s="670">
        <f>'I&amp;M TCOS'!L172</f>
        <v>24691516.90055912</v>
      </c>
      <c r="H59" s="652"/>
      <c r="I59" s="546"/>
      <c r="J59" s="594"/>
      <c r="K59" s="546"/>
      <c r="L59" s="546"/>
      <c r="M59" s="546"/>
      <c r="N59" s="546"/>
      <c r="O59" s="546"/>
      <c r="P59" s="594"/>
    </row>
    <row r="60" spans="2:16" ht="12.75">
      <c r="B60" s="582"/>
      <c r="C60" s="661" t="str">
        <f>"   Annual Rev. Req, w/"&amp;F17&amp;" Basis Point ROE increase, less Depreciation"</f>
        <v>   Annual Rev. Req, w/ Basis Point ROE increase, less Depreciation</v>
      </c>
      <c r="D60" s="569"/>
      <c r="E60" s="546"/>
      <c r="G60" s="653">
        <f>G58-G59</f>
        <v>116205456.45138249</v>
      </c>
      <c r="H60" s="652"/>
      <c r="I60" s="546"/>
      <c r="J60" s="594"/>
      <c r="K60" s="546"/>
      <c r="L60" s="546"/>
      <c r="M60" s="546"/>
      <c r="N60" s="546"/>
      <c r="O60" s="546"/>
      <c r="P60" s="594"/>
    </row>
    <row r="61" spans="2:16" ht="12.75">
      <c r="B61" s="582"/>
      <c r="C61" s="546"/>
      <c r="D61" s="569"/>
      <c r="E61" s="546"/>
      <c r="F61" s="546"/>
      <c r="G61" s="546"/>
      <c r="H61" s="652"/>
      <c r="I61" s="546"/>
      <c r="J61" s="594"/>
      <c r="K61" s="546"/>
      <c r="L61" s="546"/>
      <c r="M61" s="546"/>
      <c r="N61" s="546"/>
      <c r="O61" s="546"/>
      <c r="P61" s="594"/>
    </row>
    <row r="62" spans="2:16" ht="15.75">
      <c r="B62" s="582"/>
      <c r="C62" s="602" t="str">
        <f>"C.   Determine FCR with hypothetical "&amp;F17&amp;" basis point ROE increase."</f>
        <v>C.   Determine FCR with hypothetical  basis point ROE increase.</v>
      </c>
      <c r="D62" s="569"/>
      <c r="E62" s="546"/>
      <c r="F62" s="546"/>
      <c r="G62" s="546"/>
      <c r="H62" s="652"/>
      <c r="I62" s="546"/>
      <c r="J62" s="594"/>
      <c r="K62" s="546"/>
      <c r="L62" s="546"/>
      <c r="M62" s="546"/>
      <c r="N62" s="546"/>
      <c r="O62" s="546"/>
      <c r="P62" s="594"/>
    </row>
    <row r="63" spans="2:16" ht="12.75">
      <c r="B63" s="582"/>
      <c r="C63" s="546"/>
      <c r="D63" s="569"/>
      <c r="E63" s="546"/>
      <c r="F63" s="546"/>
      <c r="G63" s="546"/>
      <c r="H63" s="652"/>
      <c r="I63" s="546"/>
      <c r="J63" s="594"/>
      <c r="K63" s="546"/>
      <c r="L63" s="546"/>
      <c r="M63" s="546"/>
      <c r="N63" s="546"/>
      <c r="O63" s="546"/>
      <c r="P63" s="594"/>
    </row>
    <row r="64" spans="2:16" ht="12.75">
      <c r="B64" s="582"/>
      <c r="C64" s="641" t="str">
        <f>"   Net Transmission Plant  (TCOS, ln "&amp;'I&amp;M TCOS'!B89&amp;")"</f>
        <v>   Net Transmission Plant  (TCOS, ln 42)</v>
      </c>
      <c r="D64" s="569"/>
      <c r="E64" s="546"/>
      <c r="G64" s="653">
        <f>'I&amp;M TCOS'!L89</f>
        <v>903557606.1049999</v>
      </c>
      <c r="H64" s="671"/>
      <c r="I64" s="546"/>
      <c r="J64" s="594"/>
      <c r="K64" s="546"/>
      <c r="L64" s="546"/>
      <c r="M64" s="546"/>
      <c r="N64" s="546"/>
      <c r="O64" s="546"/>
      <c r="P64" s="594"/>
    </row>
    <row r="65" spans="2:16" ht="12.75">
      <c r="B65" s="582"/>
      <c r="C65" s="661" t="str">
        <f>"   Annual Revenue Requirement, with "&amp;F17&amp;" Basis Point ROE increase"</f>
        <v>   Annual Revenue Requirement, with  Basis Point ROE increase</v>
      </c>
      <c r="D65" s="569"/>
      <c r="E65" s="546"/>
      <c r="G65" s="653">
        <f>G58</f>
        <v>140896973.35194162</v>
      </c>
      <c r="H65" s="652"/>
      <c r="I65" s="546"/>
      <c r="J65" s="594"/>
      <c r="K65" s="546"/>
      <c r="L65" s="546"/>
      <c r="M65" s="546"/>
      <c r="N65" s="546"/>
      <c r="O65" s="546"/>
      <c r="P65" s="594"/>
    </row>
    <row r="66" spans="2:16" ht="12.75">
      <c r="B66" s="582"/>
      <c r="C66" s="661" t="str">
        <f>"   FCR with "&amp;F17&amp;" Basis Point increase in ROE"</f>
        <v>   FCR with  Basis Point increase in ROE</v>
      </c>
      <c r="D66" s="569"/>
      <c r="E66" s="546"/>
      <c r="G66" s="651">
        <f>G65/G64</f>
        <v>0.15593579468531238</v>
      </c>
      <c r="H66" s="652"/>
      <c r="I66" s="546"/>
      <c r="J66" s="594"/>
      <c r="K66" s="546"/>
      <c r="L66" s="546"/>
      <c r="M66" s="546"/>
      <c r="N66" s="546"/>
      <c r="O66" s="546"/>
      <c r="P66" s="594"/>
    </row>
    <row r="67" spans="2:16" ht="12.75">
      <c r="B67" s="582"/>
      <c r="C67" s="368"/>
      <c r="D67" s="569"/>
      <c r="E67" s="546"/>
      <c r="G67" s="582"/>
      <c r="H67" s="652"/>
      <c r="I67" s="546"/>
      <c r="J67" s="594"/>
      <c r="K67" s="546"/>
      <c r="L67" s="546"/>
      <c r="M67" s="546"/>
      <c r="N67" s="546"/>
      <c r="O67" s="546"/>
      <c r="P67" s="594"/>
    </row>
    <row r="68" spans="2:16" ht="12.75">
      <c r="B68" s="582"/>
      <c r="C68" s="661" t="str">
        <f>"   Annual Rev. Req, w / "&amp;F17&amp;" Basis Point ROE increase, less Dep."</f>
        <v>   Annual Rev. Req, w /  Basis Point ROE increase, less Dep.</v>
      </c>
      <c r="D68" s="569"/>
      <c r="E68" s="546"/>
      <c r="G68" s="653">
        <f>G60</f>
        <v>116205456.45138249</v>
      </c>
      <c r="H68" s="652"/>
      <c r="I68" s="546"/>
      <c r="J68" s="594"/>
      <c r="K68" s="546"/>
      <c r="L68" s="546"/>
      <c r="M68" s="546"/>
      <c r="N68" s="546"/>
      <c r="O68" s="546"/>
      <c r="P68" s="594"/>
    </row>
    <row r="69" spans="2:16" ht="12.75">
      <c r="B69" s="582"/>
      <c r="C69" s="661" t="str">
        <f>"   FCR with "&amp;F17&amp;" Basis Point ROE increase, less Depreciation"</f>
        <v>   FCR with  Basis Point ROE increase, less Depreciation</v>
      </c>
      <c r="D69" s="569"/>
      <c r="E69" s="546"/>
      <c r="G69" s="651">
        <f>G68/G64</f>
        <v>0.12860879667906705</v>
      </c>
      <c r="H69" s="652"/>
      <c r="I69" s="546"/>
      <c r="J69" s="594"/>
      <c r="K69" s="546"/>
      <c r="L69" s="546"/>
      <c r="M69" s="546"/>
      <c r="N69" s="546"/>
      <c r="O69" s="546"/>
      <c r="P69" s="594"/>
    </row>
    <row r="70" spans="2:16" ht="12.75">
      <c r="B70" s="582"/>
      <c r="C70" s="641" t="str">
        <f>"   FCR less Depreciation  (TCOS, ln "&amp;'I&amp;M TCOS'!B32&amp;")"</f>
        <v>   FCR less Depreciation  (TCOS, ln 10)</v>
      </c>
      <c r="D70" s="569"/>
      <c r="E70" s="546"/>
      <c r="G70" s="672">
        <f>'I&amp;M TCOS'!L32</f>
        <v>0.12860879667906705</v>
      </c>
      <c r="H70" s="652"/>
      <c r="I70" s="546"/>
      <c r="J70" s="594"/>
      <c r="K70" s="546"/>
      <c r="L70" s="546"/>
      <c r="M70" s="546"/>
      <c r="N70" s="546"/>
      <c r="O70" s="546"/>
      <c r="P70" s="594"/>
    </row>
    <row r="71" spans="2:16" ht="12.75">
      <c r="B71" s="582"/>
      <c r="C71" s="661" t="str">
        <f>"   Incremental FCR with "&amp;F17&amp;" Basis Point ROE increase, less Depreciation"</f>
        <v>   Incremental FCR with  Basis Point ROE increase, less Depreciation</v>
      </c>
      <c r="D71" s="569"/>
      <c r="E71" s="546"/>
      <c r="G71" s="651">
        <f>G69-G70</f>
        <v>0</v>
      </c>
      <c r="H71" s="652"/>
      <c r="I71" s="546"/>
      <c r="J71" s="594"/>
      <c r="K71" s="546"/>
      <c r="L71" s="546"/>
      <c r="M71" s="546"/>
      <c r="N71" s="546"/>
      <c r="O71" s="546"/>
      <c r="P71" s="594"/>
    </row>
    <row r="72" spans="2:16" ht="12.75">
      <c r="B72" s="582"/>
      <c r="C72" s="661"/>
      <c r="D72" s="569"/>
      <c r="E72" s="546"/>
      <c r="F72" s="651"/>
      <c r="G72" s="546"/>
      <c r="H72" s="652"/>
      <c r="I72" s="546"/>
      <c r="J72" s="594"/>
      <c r="K72" s="546"/>
      <c r="L72" s="546"/>
      <c r="M72" s="546"/>
      <c r="N72" s="546"/>
      <c r="O72" s="546"/>
      <c r="P72" s="594"/>
    </row>
    <row r="73" spans="2:16" ht="18.75">
      <c r="B73" s="601" t="s">
        <v>175</v>
      </c>
      <c r="C73" s="600" t="s">
        <v>269</v>
      </c>
      <c r="D73" s="569"/>
      <c r="E73" s="546"/>
      <c r="F73" s="651"/>
      <c r="G73" s="546"/>
      <c r="H73" s="652"/>
      <c r="I73" s="546"/>
      <c r="J73" s="594"/>
      <c r="K73" s="546"/>
      <c r="L73" s="546"/>
      <c r="M73" s="546"/>
      <c r="N73" s="546"/>
      <c r="O73" s="546"/>
      <c r="P73" s="594"/>
    </row>
    <row r="74" spans="2:16" ht="12.75">
      <c r="B74" s="582"/>
      <c r="C74" s="661"/>
      <c r="D74" s="569"/>
      <c r="E74" s="546"/>
      <c r="F74" s="651"/>
      <c r="G74" s="546"/>
      <c r="H74" s="652"/>
      <c r="I74" s="546"/>
      <c r="J74" s="594"/>
      <c r="K74" s="546"/>
      <c r="L74" s="546"/>
      <c r="M74" s="546"/>
      <c r="N74" s="546"/>
      <c r="O74" s="546"/>
      <c r="P74" s="594"/>
    </row>
    <row r="75" spans="2:16" ht="12.75">
      <c r="B75" s="582"/>
      <c r="C75" s="661" t="str">
        <f>+"Average Transmission Plant Balance for "&amp;'I&amp;M TCOS'!L2&amp;" (TCOS, ln "&amp;'I&amp;M TCOS'!B66&amp;")"</f>
        <v>Average Transmission Plant Balance for 2017 (TCOS, ln 21)</v>
      </c>
      <c r="D75" s="569"/>
      <c r="G75" s="652">
        <f>'I&amp;M TCOS'!L66</f>
        <v>1429476849.61</v>
      </c>
      <c r="I75" s="546"/>
      <c r="J75" s="594"/>
      <c r="K75" s="675"/>
      <c r="L75" s="546"/>
      <c r="M75" s="546"/>
      <c r="N75" s="546"/>
      <c r="O75" s="546"/>
      <c r="P75" s="594"/>
    </row>
    <row r="76" spans="2:16" ht="12.75">
      <c r="B76" s="582"/>
      <c r="C76" s="673" t="str">
        <f>"Annual Depreciation and Amortization Expense  (TCOS, ln "&amp;'I&amp;M TCOS'!B172&amp;")"</f>
        <v>Annual Depreciation and Amortization Expense  (TCOS, ln 100)</v>
      </c>
      <c r="D76" s="569"/>
      <c r="E76" s="546"/>
      <c r="G76" s="674">
        <f>'I&amp;M TCOS'!L172</f>
        <v>24691516.90055912</v>
      </c>
      <c r="H76" s="652"/>
      <c r="I76" s="546"/>
      <c r="J76" s="594"/>
      <c r="K76" s="546"/>
      <c r="L76" s="546"/>
      <c r="M76" s="546"/>
      <c r="N76" s="546"/>
      <c r="O76" s="546"/>
      <c r="P76" s="594"/>
    </row>
    <row r="77" spans="2:16" ht="12.75">
      <c r="B77" s="582"/>
      <c r="C77" s="661" t="s">
        <v>270</v>
      </c>
      <c r="D77" s="569"/>
      <c r="E77" s="546"/>
      <c r="G77" s="651">
        <f>+G76/G75</f>
        <v>0.017273114221678817</v>
      </c>
      <c r="H77" s="676"/>
      <c r="I77" s="546"/>
      <c r="J77" s="594"/>
      <c r="K77" s="546"/>
      <c r="L77" s="546"/>
      <c r="M77" s="546"/>
      <c r="N77" s="546"/>
      <c r="O77" s="546"/>
      <c r="P77" s="594"/>
    </row>
    <row r="78" spans="2:16" ht="12.75">
      <c r="B78" s="582"/>
      <c r="C78" s="661" t="s">
        <v>271</v>
      </c>
      <c r="D78" s="569"/>
      <c r="E78" s="546"/>
      <c r="G78" s="676">
        <f>1/G77</f>
        <v>57.8934398954497</v>
      </c>
      <c r="H78" s="652"/>
      <c r="I78" s="546"/>
      <c r="J78" s="594"/>
      <c r="K78" s="546"/>
      <c r="L78" s="546"/>
      <c r="M78" s="546"/>
      <c r="N78" s="546"/>
      <c r="O78" s="546"/>
      <c r="P78" s="594"/>
    </row>
    <row r="79" spans="2:16" ht="12.75">
      <c r="B79" s="582"/>
      <c r="C79" s="661" t="s">
        <v>272</v>
      </c>
      <c r="D79" s="569"/>
      <c r="E79" s="546"/>
      <c r="G79" s="677">
        <f>ROUND(G78,0)</f>
        <v>58</v>
      </c>
      <c r="H79" s="652"/>
      <c r="I79" s="546"/>
      <c r="J79" s="594"/>
      <c r="K79" s="546"/>
      <c r="L79" s="546"/>
      <c r="M79" s="546"/>
      <c r="N79" s="546"/>
      <c r="O79" s="546"/>
      <c r="P79" s="594"/>
    </row>
    <row r="80" spans="2:16" ht="12.75">
      <c r="B80" s="582"/>
      <c r="C80" s="661"/>
      <c r="D80" s="569"/>
      <c r="E80" s="546"/>
      <c r="G80" s="677"/>
      <c r="H80" s="652"/>
      <c r="I80" s="546"/>
      <c r="J80" s="594"/>
      <c r="K80" s="546"/>
      <c r="L80" s="546"/>
      <c r="M80" s="546"/>
      <c r="N80" s="546"/>
      <c r="O80" s="546"/>
      <c r="P80" s="594"/>
    </row>
    <row r="81" spans="3:16" ht="12.75">
      <c r="C81" s="678"/>
      <c r="D81" s="679"/>
      <c r="E81" s="679"/>
      <c r="F81" s="679"/>
      <c r="G81" s="675"/>
      <c r="H81" s="675"/>
      <c r="I81" s="680"/>
      <c r="J81" s="680"/>
      <c r="K81" s="680"/>
      <c r="L81" s="680"/>
      <c r="M81" s="680"/>
      <c r="N81" s="680"/>
      <c r="O81" s="546"/>
      <c r="P81" s="680"/>
    </row>
    <row r="82" spans="1:16" ht="20.25">
      <c r="A82" s="681" t="s">
        <v>761</v>
      </c>
      <c r="B82" s="546"/>
      <c r="C82" s="661"/>
      <c r="D82" s="569"/>
      <c r="E82" s="546"/>
      <c r="F82" s="651"/>
      <c r="G82" s="546"/>
      <c r="H82" s="652"/>
      <c r="K82" s="682"/>
      <c r="L82" s="682"/>
      <c r="M82" s="682"/>
      <c r="N82" s="597" t="str">
        <f>"Page "&amp;SUM(P$8:P82)&amp;" of "</f>
        <v>Page 2 of </v>
      </c>
      <c r="O82" s="598">
        <f>COUNT(P$8:P$58715)</f>
        <v>2</v>
      </c>
      <c r="P82" s="673">
        <v>1</v>
      </c>
    </row>
    <row r="83" spans="2:16" ht="12.75">
      <c r="B83" s="546"/>
      <c r="C83" s="546"/>
      <c r="D83" s="569"/>
      <c r="E83" s="546"/>
      <c r="F83" s="546"/>
      <c r="G83" s="546"/>
      <c r="H83" s="652"/>
      <c r="I83" s="546"/>
      <c r="J83" s="594"/>
      <c r="K83" s="546"/>
      <c r="L83" s="546"/>
      <c r="M83" s="546"/>
      <c r="N83" s="546"/>
      <c r="O83" s="546"/>
      <c r="P83" s="594"/>
    </row>
    <row r="84" spans="2:16" ht="18">
      <c r="B84" s="601" t="s">
        <v>176</v>
      </c>
      <c r="C84" s="683" t="s">
        <v>292</v>
      </c>
      <c r="D84" s="569"/>
      <c r="E84" s="546"/>
      <c r="F84" s="546"/>
      <c r="G84" s="546"/>
      <c r="H84" s="652"/>
      <c r="I84" s="652"/>
      <c r="J84" s="675"/>
      <c r="K84" s="652"/>
      <c r="L84" s="652"/>
      <c r="M84" s="652"/>
      <c r="N84" s="652"/>
      <c r="O84" s="546"/>
      <c r="P84" s="675"/>
    </row>
    <row r="85" spans="2:16" ht="15" customHeight="1">
      <c r="B85" s="601"/>
      <c r="C85" s="600"/>
      <c r="D85" s="569"/>
      <c r="E85" s="546"/>
      <c r="F85" s="546"/>
      <c r="G85" s="546"/>
      <c r="H85" s="652"/>
      <c r="I85" s="652"/>
      <c r="J85" s="675"/>
      <c r="K85" s="652"/>
      <c r="L85" s="652"/>
      <c r="M85" s="652"/>
      <c r="N85" s="652"/>
      <c r="O85" s="546"/>
      <c r="P85" s="675"/>
    </row>
    <row r="86" spans="2:16" ht="18.75">
      <c r="B86" s="601"/>
      <c r="C86" s="600" t="s">
        <v>293</v>
      </c>
      <c r="D86" s="569"/>
      <c r="E86" s="546"/>
      <c r="F86" s="546"/>
      <c r="G86" s="546"/>
      <c r="H86" s="652"/>
      <c r="I86" s="652"/>
      <c r="J86" s="675"/>
      <c r="K86" s="652"/>
      <c r="L86" s="652"/>
      <c r="M86" s="652"/>
      <c r="N86" s="652"/>
      <c r="O86" s="546"/>
      <c r="P86" s="675"/>
    </row>
    <row r="87" spans="2:16" ht="15.75" thickBot="1">
      <c r="B87" s="330"/>
      <c r="C87" s="396"/>
      <c r="D87" s="569"/>
      <c r="E87" s="546"/>
      <c r="F87" s="546"/>
      <c r="G87" s="546"/>
      <c r="H87" s="652"/>
      <c r="I87" s="652"/>
      <c r="J87" s="675"/>
      <c r="K87" s="652"/>
      <c r="L87" s="652"/>
      <c r="M87" s="652"/>
      <c r="N87" s="652"/>
      <c r="O87" s="546"/>
      <c r="P87" s="675"/>
    </row>
    <row r="88" spans="2:16" ht="15.75">
      <c r="B88" s="330"/>
      <c r="C88" s="602" t="s">
        <v>294</v>
      </c>
      <c r="D88" s="569"/>
      <c r="E88" s="546"/>
      <c r="F88" s="546"/>
      <c r="G88" s="851"/>
      <c r="H88" s="546" t="s">
        <v>273</v>
      </c>
      <c r="I88" s="546"/>
      <c r="J88" s="594"/>
      <c r="K88" s="684" t="s">
        <v>298</v>
      </c>
      <c r="L88" s="685"/>
      <c r="M88" s="686"/>
      <c r="N88" s="687" t="e">
        <f>VLOOKUP(I94,C101:O160,5)</f>
        <v>#N/A</v>
      </c>
      <c r="O88" s="546"/>
      <c r="P88" s="594"/>
    </row>
    <row r="89" spans="2:16" ht="15.75">
      <c r="B89" s="330"/>
      <c r="C89" s="602"/>
      <c r="D89" s="569"/>
      <c r="E89" s="546"/>
      <c r="F89" s="546"/>
      <c r="G89" s="546"/>
      <c r="H89" s="688"/>
      <c r="I89" s="688"/>
      <c r="J89" s="689"/>
      <c r="K89" s="690" t="s">
        <v>299</v>
      </c>
      <c r="L89" s="691"/>
      <c r="M89" s="594"/>
      <c r="N89" s="692" t="e">
        <f>VLOOKUP(I94,C101:O160,6)</f>
        <v>#N/A</v>
      </c>
      <c r="O89" s="546"/>
      <c r="P89" s="689"/>
    </row>
    <row r="90" spans="2:16" ht="13.5" thickBot="1">
      <c r="B90" s="330"/>
      <c r="C90" s="693" t="s">
        <v>295</v>
      </c>
      <c r="D90" s="1514"/>
      <c r="E90" s="1514"/>
      <c r="F90" s="1514"/>
      <c r="G90" s="1514"/>
      <c r="H90" s="652"/>
      <c r="I90" s="652"/>
      <c r="J90" s="675"/>
      <c r="K90" s="694" t="s">
        <v>452</v>
      </c>
      <c r="L90" s="695"/>
      <c r="M90" s="695"/>
      <c r="N90" s="696" t="e">
        <f>+N89-N88</f>
        <v>#N/A</v>
      </c>
      <c r="O90" s="546"/>
      <c r="P90" s="675"/>
    </row>
    <row r="91" spans="2:16" ht="12.75">
      <c r="B91" s="330"/>
      <c r="C91" s="697"/>
      <c r="D91" s="698"/>
      <c r="E91" s="677"/>
      <c r="F91" s="677"/>
      <c r="G91" s="699"/>
      <c r="H91" s="652"/>
      <c r="I91" s="652"/>
      <c r="J91" s="675"/>
      <c r="K91" s="652"/>
      <c r="L91" s="652"/>
      <c r="M91" s="652"/>
      <c r="N91" s="652"/>
      <c r="O91" s="546"/>
      <c r="P91" s="675"/>
    </row>
    <row r="92" spans="2:16" ht="13.5" thickBot="1">
      <c r="B92" s="330"/>
      <c r="C92" s="700"/>
      <c r="D92" s="701"/>
      <c r="E92" s="699"/>
      <c r="F92" s="699"/>
      <c r="G92" s="699"/>
      <c r="H92" s="699"/>
      <c r="I92" s="699"/>
      <c r="J92" s="702"/>
      <c r="K92" s="699"/>
      <c r="L92" s="699"/>
      <c r="M92" s="699"/>
      <c r="N92" s="699"/>
      <c r="O92" s="582"/>
      <c r="P92" s="702"/>
    </row>
    <row r="93" spans="2:16" ht="13.5" thickBot="1">
      <c r="B93" s="703"/>
      <c r="C93" s="704" t="s">
        <v>296</v>
      </c>
      <c r="D93" s="705"/>
      <c r="E93" s="705"/>
      <c r="F93" s="705"/>
      <c r="G93" s="705"/>
      <c r="H93" s="705"/>
      <c r="I93" s="706"/>
      <c r="J93" s="707"/>
      <c r="K93" s="546"/>
      <c r="L93" s="546"/>
      <c r="M93" s="546"/>
      <c r="N93" s="546"/>
      <c r="O93" s="708"/>
      <c r="P93" s="709"/>
    </row>
    <row r="94" spans="2:16" ht="15">
      <c r="B94" s="703"/>
      <c r="C94" s="710" t="s">
        <v>274</v>
      </c>
      <c r="D94" s="852"/>
      <c r="E94" s="661" t="s">
        <v>275</v>
      </c>
      <c r="G94" s="711"/>
      <c r="H94" s="711"/>
      <c r="I94" s="712">
        <v>2017</v>
      </c>
      <c r="J94" s="592"/>
      <c r="K94" s="1515" t="s">
        <v>461</v>
      </c>
      <c r="L94" s="1515"/>
      <c r="M94" s="1515"/>
      <c r="N94" s="1515"/>
      <c r="O94" s="1515"/>
      <c r="P94" s="592"/>
    </row>
    <row r="95" spans="2:16" ht="12.75">
      <c r="B95" s="703"/>
      <c r="C95" s="710" t="s">
        <v>277</v>
      </c>
      <c r="D95" s="853"/>
      <c r="E95" s="710" t="s">
        <v>278</v>
      </c>
      <c r="F95" s="711"/>
      <c r="H95" s="330"/>
      <c r="I95" s="856">
        <f>IF(G88="",0,$F$17)</f>
        <v>0</v>
      </c>
      <c r="J95" s="713"/>
      <c r="K95" s="675" t="s">
        <v>461</v>
      </c>
      <c r="P95" s="713"/>
    </row>
    <row r="96" spans="2:16" ht="12.75">
      <c r="B96" s="703"/>
      <c r="C96" s="710" t="s">
        <v>279</v>
      </c>
      <c r="D96" s="854"/>
      <c r="E96" s="710" t="s">
        <v>280</v>
      </c>
      <c r="F96" s="711"/>
      <c r="H96" s="330"/>
      <c r="I96" s="714">
        <f>$G$70</f>
        <v>0.12860879667906705</v>
      </c>
      <c r="J96" s="715"/>
      <c r="K96" s="330" t="str">
        <f>"          INPUT PROJECTED ARR (WITH &amp; WITHOUT INCENTIVES) FROM EACH PRIOR YEAR"</f>
        <v>          INPUT PROJECTED ARR (WITH &amp; WITHOUT INCENTIVES) FROM EACH PRIOR YEAR</v>
      </c>
      <c r="P96" s="715"/>
    </row>
    <row r="97" spans="2:16" ht="12.75">
      <c r="B97" s="703"/>
      <c r="C97" s="710" t="s">
        <v>281</v>
      </c>
      <c r="D97" s="716">
        <f>G$79</f>
        <v>58</v>
      </c>
      <c r="E97" s="710" t="s">
        <v>282</v>
      </c>
      <c r="F97" s="711"/>
      <c r="H97" s="330"/>
      <c r="I97" s="714">
        <f>IF(G88="",I96,$G$69)</f>
        <v>0.12860879667906705</v>
      </c>
      <c r="J97" s="717"/>
      <c r="K97" s="330" t="s">
        <v>359</v>
      </c>
      <c r="P97" s="717"/>
    </row>
    <row r="98" spans="2:16" ht="13.5" thickBot="1">
      <c r="B98" s="703"/>
      <c r="C98" s="710" t="s">
        <v>283</v>
      </c>
      <c r="D98" s="855"/>
      <c r="E98" s="718" t="s">
        <v>284</v>
      </c>
      <c r="F98" s="719"/>
      <c r="G98" s="720"/>
      <c r="H98" s="720"/>
      <c r="I98" s="696">
        <f>IF(D94=0,0,D94/D97)</f>
        <v>0</v>
      </c>
      <c r="J98" s="675"/>
      <c r="K98" s="675" t="s">
        <v>365</v>
      </c>
      <c r="L98" s="675"/>
      <c r="M98" s="675"/>
      <c r="N98" s="675"/>
      <c r="O98" s="594"/>
      <c r="P98" s="675"/>
    </row>
    <row r="99" spans="1:16" ht="51">
      <c r="A99" s="531"/>
      <c r="B99" s="531"/>
      <c r="C99" s="721" t="s">
        <v>274</v>
      </c>
      <c r="D99" s="722" t="s">
        <v>285</v>
      </c>
      <c r="E99" s="723" t="s">
        <v>286</v>
      </c>
      <c r="F99" s="722" t="s">
        <v>287</v>
      </c>
      <c r="G99" s="723" t="s">
        <v>358</v>
      </c>
      <c r="H99" s="724" t="s">
        <v>358</v>
      </c>
      <c r="I99" s="721" t="s">
        <v>297</v>
      </c>
      <c r="J99" s="725"/>
      <c r="K99" s="723" t="s">
        <v>367</v>
      </c>
      <c r="L99" s="726"/>
      <c r="M99" s="723" t="s">
        <v>367</v>
      </c>
      <c r="N99" s="726"/>
      <c r="O99" s="726"/>
      <c r="P99" s="727"/>
    </row>
    <row r="100" spans="2:16" ht="13.5" thickBot="1">
      <c r="B100" s="330"/>
      <c r="C100" s="728" t="s">
        <v>179</v>
      </c>
      <c r="D100" s="729" t="s">
        <v>180</v>
      </c>
      <c r="E100" s="728" t="s">
        <v>38</v>
      </c>
      <c r="F100" s="729" t="s">
        <v>180</v>
      </c>
      <c r="G100" s="730" t="s">
        <v>300</v>
      </c>
      <c r="H100" s="731" t="s">
        <v>302</v>
      </c>
      <c r="I100" s="732" t="s">
        <v>391</v>
      </c>
      <c r="J100" s="733"/>
      <c r="K100" s="730" t="s">
        <v>289</v>
      </c>
      <c r="L100" s="734"/>
      <c r="M100" s="730" t="s">
        <v>302</v>
      </c>
      <c r="N100" s="734"/>
      <c r="O100" s="734"/>
      <c r="P100" s="592"/>
    </row>
    <row r="101" spans="2:16" ht="12.75">
      <c r="B101" s="330"/>
      <c r="C101" s="735" t="str">
        <f>IF(D95="","-",D95)</f>
        <v>-</v>
      </c>
      <c r="D101" s="679">
        <f>+D94</f>
        <v>0</v>
      </c>
      <c r="E101" s="736">
        <f>+I98/12*(12-D96)</f>
        <v>0</v>
      </c>
      <c r="F101" s="679">
        <f aca="true" t="shared" si="0" ref="F101:F160">+D101-E101</f>
        <v>0</v>
      </c>
      <c r="G101" s="885">
        <f>+$I$96*((D101+F101)/2)+E101</f>
        <v>0</v>
      </c>
      <c r="H101" s="886">
        <f>+$I$97*((D101+F101)/2)+E101</f>
        <v>0</v>
      </c>
      <c r="I101" s="739">
        <f>+H101-G101</f>
        <v>0</v>
      </c>
      <c r="J101" s="739"/>
      <c r="K101" s="857"/>
      <c r="L101" s="740"/>
      <c r="M101" s="857"/>
      <c r="N101" s="740"/>
      <c r="O101" s="740"/>
      <c r="P101" s="680"/>
    </row>
    <row r="102" spans="2:16" ht="12.75">
      <c r="B102" s="330"/>
      <c r="C102" s="735" t="str">
        <f>IF(D95="","-",+C101+1)</f>
        <v>-</v>
      </c>
      <c r="D102" s="679">
        <f aca="true" t="shared" si="1" ref="D102:D160">F101</f>
        <v>0</v>
      </c>
      <c r="E102" s="741">
        <f>IF(D102&gt;$I$98,$I$98,D102)</f>
        <v>0</v>
      </c>
      <c r="F102" s="679">
        <f t="shared" si="0"/>
        <v>0</v>
      </c>
      <c r="G102" s="736">
        <f aca="true" t="shared" si="2" ref="G102:G160">+$I$96*((D102+F102)/2)+E102</f>
        <v>0</v>
      </c>
      <c r="H102" s="742">
        <f aca="true" t="shared" si="3" ref="H102:H160">+$I$97*((D102+F102)/2)+E102</f>
        <v>0</v>
      </c>
      <c r="I102" s="739">
        <f aca="true" t="shared" si="4" ref="I102:I160">+H102-G102</f>
        <v>0</v>
      </c>
      <c r="J102" s="739"/>
      <c r="K102" s="858"/>
      <c r="L102" s="744"/>
      <c r="M102" s="858"/>
      <c r="N102" s="744"/>
      <c r="O102" s="744"/>
      <c r="P102" s="680"/>
    </row>
    <row r="103" spans="2:16" ht="12.75">
      <c r="B103" s="330"/>
      <c r="C103" s="735" t="str">
        <f>IF(D95="","-",+C102+1)</f>
        <v>-</v>
      </c>
      <c r="D103" s="679">
        <f t="shared" si="1"/>
        <v>0</v>
      </c>
      <c r="E103" s="741">
        <f aca="true" t="shared" si="5" ref="E103:E160">IF(D103&gt;$I$98,$I$98,D103)</f>
        <v>0</v>
      </c>
      <c r="F103" s="679">
        <f t="shared" si="0"/>
        <v>0</v>
      </c>
      <c r="G103" s="736">
        <f t="shared" si="2"/>
        <v>0</v>
      </c>
      <c r="H103" s="742">
        <f t="shared" si="3"/>
        <v>0</v>
      </c>
      <c r="I103" s="739">
        <f t="shared" si="4"/>
        <v>0</v>
      </c>
      <c r="J103" s="739"/>
      <c r="K103" s="858"/>
      <c r="L103" s="744"/>
      <c r="M103" s="858"/>
      <c r="N103" s="744"/>
      <c r="O103" s="744"/>
      <c r="P103" s="680"/>
    </row>
    <row r="104" spans="2:16" ht="12.75">
      <c r="B104" s="330"/>
      <c r="C104" s="735" t="str">
        <f>IF(D95="","-",+C103+1)</f>
        <v>-</v>
      </c>
      <c r="D104" s="679">
        <f t="shared" si="1"/>
        <v>0</v>
      </c>
      <c r="E104" s="741">
        <f t="shared" si="5"/>
        <v>0</v>
      </c>
      <c r="F104" s="679">
        <f t="shared" si="0"/>
        <v>0</v>
      </c>
      <c r="G104" s="736">
        <f t="shared" si="2"/>
        <v>0</v>
      </c>
      <c r="H104" s="742">
        <f t="shared" si="3"/>
        <v>0</v>
      </c>
      <c r="I104" s="739">
        <f t="shared" si="4"/>
        <v>0</v>
      </c>
      <c r="J104" s="739"/>
      <c r="K104" s="858"/>
      <c r="L104" s="744"/>
      <c r="M104" s="858"/>
      <c r="N104" s="744"/>
      <c r="O104" s="744"/>
      <c r="P104" s="680"/>
    </row>
    <row r="105" spans="2:16" ht="12.75">
      <c r="B105" s="330"/>
      <c r="C105" s="735" t="str">
        <f>IF(D95="","-",+C104+1)</f>
        <v>-</v>
      </c>
      <c r="D105" s="679">
        <f t="shared" si="1"/>
        <v>0</v>
      </c>
      <c r="E105" s="741">
        <f t="shared" si="5"/>
        <v>0</v>
      </c>
      <c r="F105" s="679">
        <f t="shared" si="0"/>
        <v>0</v>
      </c>
      <c r="G105" s="736">
        <f t="shared" si="2"/>
        <v>0</v>
      </c>
      <c r="H105" s="742">
        <f t="shared" si="3"/>
        <v>0</v>
      </c>
      <c r="I105" s="739">
        <f t="shared" si="4"/>
        <v>0</v>
      </c>
      <c r="J105" s="739"/>
      <c r="K105" s="858"/>
      <c r="L105" s="744"/>
      <c r="M105" s="858"/>
      <c r="N105" s="744"/>
      <c r="O105" s="744"/>
      <c r="P105" s="680"/>
    </row>
    <row r="106" spans="2:16" ht="12.75">
      <c r="B106" s="330"/>
      <c r="C106" s="735" t="str">
        <f>IF(D95="","-",+C105+1)</f>
        <v>-</v>
      </c>
      <c r="D106" s="679">
        <f t="shared" si="1"/>
        <v>0</v>
      </c>
      <c r="E106" s="741">
        <f t="shared" si="5"/>
        <v>0</v>
      </c>
      <c r="F106" s="679">
        <f t="shared" si="0"/>
        <v>0</v>
      </c>
      <c r="G106" s="736">
        <f t="shared" si="2"/>
        <v>0</v>
      </c>
      <c r="H106" s="742">
        <f t="shared" si="3"/>
        <v>0</v>
      </c>
      <c r="I106" s="739">
        <f t="shared" si="4"/>
        <v>0</v>
      </c>
      <c r="J106" s="739"/>
      <c r="K106" s="858"/>
      <c r="L106" s="744"/>
      <c r="M106" s="858"/>
      <c r="N106" s="744"/>
      <c r="O106" s="744"/>
      <c r="P106" s="680"/>
    </row>
    <row r="107" spans="2:16" ht="12.75">
      <c r="B107" s="330"/>
      <c r="C107" s="735" t="str">
        <f>IF(D95="","-",+C106+1)</f>
        <v>-</v>
      </c>
      <c r="D107" s="679">
        <f>F106</f>
        <v>0</v>
      </c>
      <c r="E107" s="741">
        <f t="shared" si="5"/>
        <v>0</v>
      </c>
      <c r="F107" s="679">
        <f t="shared" si="0"/>
        <v>0</v>
      </c>
      <c r="G107" s="736">
        <f t="shared" si="2"/>
        <v>0</v>
      </c>
      <c r="H107" s="742">
        <f t="shared" si="3"/>
        <v>0</v>
      </c>
      <c r="I107" s="739">
        <f t="shared" si="4"/>
        <v>0</v>
      </c>
      <c r="J107" s="739"/>
      <c r="K107" s="858"/>
      <c r="L107" s="744"/>
      <c r="M107" s="858"/>
      <c r="N107" s="744"/>
      <c r="O107" s="744"/>
      <c r="P107" s="680"/>
    </row>
    <row r="108" spans="2:16" ht="12.75">
      <c r="B108" s="330"/>
      <c r="C108" s="735" t="str">
        <f>IF(D95="","-",+C107+1)</f>
        <v>-</v>
      </c>
      <c r="D108" s="679">
        <f t="shared" si="1"/>
        <v>0</v>
      </c>
      <c r="E108" s="741">
        <f t="shared" si="5"/>
        <v>0</v>
      </c>
      <c r="F108" s="679">
        <f t="shared" si="0"/>
        <v>0</v>
      </c>
      <c r="G108" s="736">
        <f t="shared" si="2"/>
        <v>0</v>
      </c>
      <c r="H108" s="742">
        <f t="shared" si="3"/>
        <v>0</v>
      </c>
      <c r="I108" s="739">
        <f t="shared" si="4"/>
        <v>0</v>
      </c>
      <c r="J108" s="739"/>
      <c r="K108" s="858"/>
      <c r="L108" s="744"/>
      <c r="M108" s="858"/>
      <c r="N108" s="744"/>
      <c r="O108" s="744"/>
      <c r="P108" s="680"/>
    </row>
    <row r="109" spans="2:16" ht="12.75">
      <c r="B109" s="330"/>
      <c r="C109" s="735" t="str">
        <f>IF(D95="","-",+C108+1)</f>
        <v>-</v>
      </c>
      <c r="D109" s="679">
        <f t="shared" si="1"/>
        <v>0</v>
      </c>
      <c r="E109" s="741">
        <f t="shared" si="5"/>
        <v>0</v>
      </c>
      <c r="F109" s="679">
        <f t="shared" si="0"/>
        <v>0</v>
      </c>
      <c r="G109" s="736">
        <f t="shared" si="2"/>
        <v>0</v>
      </c>
      <c r="H109" s="742">
        <f t="shared" si="3"/>
        <v>0</v>
      </c>
      <c r="I109" s="739">
        <f t="shared" si="4"/>
        <v>0</v>
      </c>
      <c r="J109" s="739"/>
      <c r="K109" s="858"/>
      <c r="L109" s="744"/>
      <c r="M109" s="858"/>
      <c r="N109" s="744"/>
      <c r="O109" s="744"/>
      <c r="P109" s="680"/>
    </row>
    <row r="110" spans="2:16" ht="12.75">
      <c r="B110" s="330"/>
      <c r="C110" s="735" t="str">
        <f>IF(D95="","-",+C109+1)</f>
        <v>-</v>
      </c>
      <c r="D110" s="679">
        <f t="shared" si="1"/>
        <v>0</v>
      </c>
      <c r="E110" s="741">
        <f t="shared" si="5"/>
        <v>0</v>
      </c>
      <c r="F110" s="679">
        <f t="shared" si="0"/>
        <v>0</v>
      </c>
      <c r="G110" s="736">
        <f t="shared" si="2"/>
        <v>0</v>
      </c>
      <c r="H110" s="742">
        <f t="shared" si="3"/>
        <v>0</v>
      </c>
      <c r="I110" s="739">
        <f t="shared" si="4"/>
        <v>0</v>
      </c>
      <c r="J110" s="739"/>
      <c r="K110" s="858"/>
      <c r="L110" s="744"/>
      <c r="M110" s="858"/>
      <c r="N110" s="744"/>
      <c r="O110" s="744"/>
      <c r="P110" s="680"/>
    </row>
    <row r="111" spans="2:16" ht="12.75">
      <c r="B111" s="330"/>
      <c r="C111" s="735" t="str">
        <f>IF(D95="","-",+C110+1)</f>
        <v>-</v>
      </c>
      <c r="D111" s="679">
        <f t="shared" si="1"/>
        <v>0</v>
      </c>
      <c r="E111" s="741">
        <f t="shared" si="5"/>
        <v>0</v>
      </c>
      <c r="F111" s="679">
        <f t="shared" si="0"/>
        <v>0</v>
      </c>
      <c r="G111" s="736">
        <f t="shared" si="2"/>
        <v>0</v>
      </c>
      <c r="H111" s="742">
        <f t="shared" si="3"/>
        <v>0</v>
      </c>
      <c r="I111" s="739">
        <f t="shared" si="4"/>
        <v>0</v>
      </c>
      <c r="J111" s="739"/>
      <c r="K111" s="858"/>
      <c r="L111" s="744"/>
      <c r="M111" s="858"/>
      <c r="N111" s="744"/>
      <c r="O111" s="744"/>
      <c r="P111" s="680"/>
    </row>
    <row r="112" spans="2:16" ht="12.75">
      <c r="B112" s="330"/>
      <c r="C112" s="735" t="str">
        <f>IF(D95="","-",+C111+1)</f>
        <v>-</v>
      </c>
      <c r="D112" s="679">
        <f t="shared" si="1"/>
        <v>0</v>
      </c>
      <c r="E112" s="741">
        <f t="shared" si="5"/>
        <v>0</v>
      </c>
      <c r="F112" s="679">
        <f t="shared" si="0"/>
        <v>0</v>
      </c>
      <c r="G112" s="736">
        <f t="shared" si="2"/>
        <v>0</v>
      </c>
      <c r="H112" s="742">
        <f t="shared" si="3"/>
        <v>0</v>
      </c>
      <c r="I112" s="739">
        <f t="shared" si="4"/>
        <v>0</v>
      </c>
      <c r="J112" s="739"/>
      <c r="K112" s="858"/>
      <c r="L112" s="744"/>
      <c r="M112" s="858"/>
      <c r="N112" s="744"/>
      <c r="O112" s="744"/>
      <c r="P112" s="680"/>
    </row>
    <row r="113" spans="2:16" ht="12.75">
      <c r="B113" s="330"/>
      <c r="C113" s="735" t="str">
        <f>IF(D95="","-",+C112+1)</f>
        <v>-</v>
      </c>
      <c r="D113" s="679">
        <f t="shared" si="1"/>
        <v>0</v>
      </c>
      <c r="E113" s="741">
        <f t="shared" si="5"/>
        <v>0</v>
      </c>
      <c r="F113" s="679">
        <f t="shared" si="0"/>
        <v>0</v>
      </c>
      <c r="G113" s="736">
        <f t="shared" si="2"/>
        <v>0</v>
      </c>
      <c r="H113" s="742">
        <f t="shared" si="3"/>
        <v>0</v>
      </c>
      <c r="I113" s="739">
        <f t="shared" si="4"/>
        <v>0</v>
      </c>
      <c r="J113" s="739"/>
      <c r="K113" s="858"/>
      <c r="L113" s="744"/>
      <c r="M113" s="858"/>
      <c r="N113" s="745"/>
      <c r="O113" s="744"/>
      <c r="P113" s="680"/>
    </row>
    <row r="114" spans="2:16" ht="12.75">
      <c r="B114" s="330"/>
      <c r="C114" s="735" t="str">
        <f>IF(D95="","-",+C113+1)</f>
        <v>-</v>
      </c>
      <c r="D114" s="679">
        <f t="shared" si="1"/>
        <v>0</v>
      </c>
      <c r="E114" s="741">
        <f t="shared" si="5"/>
        <v>0</v>
      </c>
      <c r="F114" s="679">
        <f t="shared" si="0"/>
        <v>0</v>
      </c>
      <c r="G114" s="736">
        <f t="shared" si="2"/>
        <v>0</v>
      </c>
      <c r="H114" s="742">
        <f t="shared" si="3"/>
        <v>0</v>
      </c>
      <c r="I114" s="739">
        <f t="shared" si="4"/>
        <v>0</v>
      </c>
      <c r="J114" s="739"/>
      <c r="K114" s="858"/>
      <c r="L114" s="744"/>
      <c r="M114" s="858"/>
      <c r="N114" s="744"/>
      <c r="O114" s="744"/>
      <c r="P114" s="680"/>
    </row>
    <row r="115" spans="2:16" ht="12.75">
      <c r="B115" s="330"/>
      <c r="C115" s="735" t="str">
        <f>IF(D95="","-",+C114+1)</f>
        <v>-</v>
      </c>
      <c r="D115" s="679">
        <f t="shared" si="1"/>
        <v>0</v>
      </c>
      <c r="E115" s="741">
        <f t="shared" si="5"/>
        <v>0</v>
      </c>
      <c r="F115" s="679">
        <f t="shared" si="0"/>
        <v>0</v>
      </c>
      <c r="G115" s="736">
        <f t="shared" si="2"/>
        <v>0</v>
      </c>
      <c r="H115" s="742">
        <f t="shared" si="3"/>
        <v>0</v>
      </c>
      <c r="I115" s="739">
        <f t="shared" si="4"/>
        <v>0</v>
      </c>
      <c r="J115" s="739"/>
      <c r="K115" s="858"/>
      <c r="L115" s="744"/>
      <c r="M115" s="858"/>
      <c r="N115" s="744"/>
      <c r="O115" s="744"/>
      <c r="P115" s="680"/>
    </row>
    <row r="116" spans="2:16" ht="12.75">
      <c r="B116" s="330"/>
      <c r="C116" s="735" t="str">
        <f>IF(D95="","-",+C115+1)</f>
        <v>-</v>
      </c>
      <c r="D116" s="679">
        <f t="shared" si="1"/>
        <v>0</v>
      </c>
      <c r="E116" s="741">
        <f t="shared" si="5"/>
        <v>0</v>
      </c>
      <c r="F116" s="679">
        <f t="shared" si="0"/>
        <v>0</v>
      </c>
      <c r="G116" s="736">
        <f t="shared" si="2"/>
        <v>0</v>
      </c>
      <c r="H116" s="742">
        <f t="shared" si="3"/>
        <v>0</v>
      </c>
      <c r="I116" s="739">
        <f t="shared" si="4"/>
        <v>0</v>
      </c>
      <c r="J116" s="739"/>
      <c r="K116" s="858"/>
      <c r="L116" s="744"/>
      <c r="M116" s="858"/>
      <c r="N116" s="744"/>
      <c r="O116" s="744"/>
      <c r="P116" s="680"/>
    </row>
    <row r="117" spans="2:16" ht="12.75">
      <c r="B117" s="330"/>
      <c r="C117" s="735" t="str">
        <f>IF(D95="","-",+C116+1)</f>
        <v>-</v>
      </c>
      <c r="D117" s="679">
        <f t="shared" si="1"/>
        <v>0</v>
      </c>
      <c r="E117" s="741">
        <f t="shared" si="5"/>
        <v>0</v>
      </c>
      <c r="F117" s="679">
        <f t="shared" si="0"/>
        <v>0</v>
      </c>
      <c r="G117" s="736">
        <f t="shared" si="2"/>
        <v>0</v>
      </c>
      <c r="H117" s="742">
        <f t="shared" si="3"/>
        <v>0</v>
      </c>
      <c r="I117" s="739">
        <f t="shared" si="4"/>
        <v>0</v>
      </c>
      <c r="J117" s="739"/>
      <c r="K117" s="858"/>
      <c r="L117" s="744"/>
      <c r="M117" s="858"/>
      <c r="N117" s="744"/>
      <c r="O117" s="744"/>
      <c r="P117" s="680"/>
    </row>
    <row r="118" spans="2:16" ht="12.75">
      <c r="B118" s="330"/>
      <c r="C118" s="735" t="str">
        <f>IF(D95="","-",+C117+1)</f>
        <v>-</v>
      </c>
      <c r="D118" s="679">
        <f t="shared" si="1"/>
        <v>0</v>
      </c>
      <c r="E118" s="741">
        <f t="shared" si="5"/>
        <v>0</v>
      </c>
      <c r="F118" s="679">
        <f t="shared" si="0"/>
        <v>0</v>
      </c>
      <c r="G118" s="736">
        <f t="shared" si="2"/>
        <v>0</v>
      </c>
      <c r="H118" s="742">
        <f t="shared" si="3"/>
        <v>0</v>
      </c>
      <c r="I118" s="739">
        <f t="shared" si="4"/>
        <v>0</v>
      </c>
      <c r="J118" s="739"/>
      <c r="K118" s="858"/>
      <c r="L118" s="744"/>
      <c r="M118" s="858"/>
      <c r="N118" s="744"/>
      <c r="O118" s="744"/>
      <c r="P118" s="680"/>
    </row>
    <row r="119" spans="2:16" ht="12.75">
      <c r="B119" s="330"/>
      <c r="C119" s="735" t="str">
        <f>IF(D95="","-",+C118+1)</f>
        <v>-</v>
      </c>
      <c r="D119" s="679">
        <f t="shared" si="1"/>
        <v>0</v>
      </c>
      <c r="E119" s="741">
        <f t="shared" si="5"/>
        <v>0</v>
      </c>
      <c r="F119" s="679">
        <f t="shared" si="0"/>
        <v>0</v>
      </c>
      <c r="G119" s="736">
        <f t="shared" si="2"/>
        <v>0</v>
      </c>
      <c r="H119" s="742">
        <f t="shared" si="3"/>
        <v>0</v>
      </c>
      <c r="I119" s="739">
        <f t="shared" si="4"/>
        <v>0</v>
      </c>
      <c r="J119" s="739"/>
      <c r="K119" s="858"/>
      <c r="L119" s="744"/>
      <c r="M119" s="858"/>
      <c r="N119" s="744"/>
      <c r="O119" s="744"/>
      <c r="P119" s="680"/>
    </row>
    <row r="120" spans="2:16" ht="12.75">
      <c r="B120" s="330"/>
      <c r="C120" s="735" t="str">
        <f>IF(D95="","-",+C119+1)</f>
        <v>-</v>
      </c>
      <c r="D120" s="679">
        <f t="shared" si="1"/>
        <v>0</v>
      </c>
      <c r="E120" s="741">
        <f t="shared" si="5"/>
        <v>0</v>
      </c>
      <c r="F120" s="679">
        <f t="shared" si="0"/>
        <v>0</v>
      </c>
      <c r="G120" s="736">
        <f t="shared" si="2"/>
        <v>0</v>
      </c>
      <c r="H120" s="742">
        <f t="shared" si="3"/>
        <v>0</v>
      </c>
      <c r="I120" s="739">
        <f t="shared" si="4"/>
        <v>0</v>
      </c>
      <c r="J120" s="739"/>
      <c r="K120" s="858"/>
      <c r="L120" s="744"/>
      <c r="M120" s="858"/>
      <c r="N120" s="744"/>
      <c r="O120" s="744"/>
      <c r="P120" s="680"/>
    </row>
    <row r="121" spans="2:16" ht="12.75">
      <c r="B121" s="330"/>
      <c r="C121" s="735" t="str">
        <f>IF(D95="","-",+C120+1)</f>
        <v>-</v>
      </c>
      <c r="D121" s="679">
        <f t="shared" si="1"/>
        <v>0</v>
      </c>
      <c r="E121" s="741">
        <f t="shared" si="5"/>
        <v>0</v>
      </c>
      <c r="F121" s="679">
        <f t="shared" si="0"/>
        <v>0</v>
      </c>
      <c r="G121" s="736">
        <f t="shared" si="2"/>
        <v>0</v>
      </c>
      <c r="H121" s="742">
        <f t="shared" si="3"/>
        <v>0</v>
      </c>
      <c r="I121" s="739">
        <f t="shared" si="4"/>
        <v>0</v>
      </c>
      <c r="J121" s="739"/>
      <c r="K121" s="858"/>
      <c r="L121" s="744"/>
      <c r="M121" s="858"/>
      <c r="N121" s="744"/>
      <c r="O121" s="744"/>
      <c r="P121" s="680"/>
    </row>
    <row r="122" spans="2:16" ht="12.75">
      <c r="B122" s="330"/>
      <c r="C122" s="735" t="str">
        <f>IF(D95="","-",+C121+1)</f>
        <v>-</v>
      </c>
      <c r="D122" s="679">
        <f t="shared" si="1"/>
        <v>0</v>
      </c>
      <c r="E122" s="741">
        <f t="shared" si="5"/>
        <v>0</v>
      </c>
      <c r="F122" s="679">
        <f t="shared" si="0"/>
        <v>0</v>
      </c>
      <c r="G122" s="736">
        <f t="shared" si="2"/>
        <v>0</v>
      </c>
      <c r="H122" s="742">
        <f t="shared" si="3"/>
        <v>0</v>
      </c>
      <c r="I122" s="739">
        <f t="shared" si="4"/>
        <v>0</v>
      </c>
      <c r="J122" s="739"/>
      <c r="K122" s="858"/>
      <c r="L122" s="744"/>
      <c r="M122" s="858"/>
      <c r="N122" s="744"/>
      <c r="O122" s="744"/>
      <c r="P122" s="680"/>
    </row>
    <row r="123" spans="2:16" ht="12.75">
      <c r="B123" s="330"/>
      <c r="C123" s="735" t="str">
        <f>IF(D95="","-",+C122+1)</f>
        <v>-</v>
      </c>
      <c r="D123" s="679">
        <f t="shared" si="1"/>
        <v>0</v>
      </c>
      <c r="E123" s="741">
        <f t="shared" si="5"/>
        <v>0</v>
      </c>
      <c r="F123" s="679">
        <f t="shared" si="0"/>
        <v>0</v>
      </c>
      <c r="G123" s="736">
        <f t="shared" si="2"/>
        <v>0</v>
      </c>
      <c r="H123" s="742">
        <f t="shared" si="3"/>
        <v>0</v>
      </c>
      <c r="I123" s="739">
        <f t="shared" si="4"/>
        <v>0</v>
      </c>
      <c r="J123" s="739"/>
      <c r="K123" s="858"/>
      <c r="L123" s="744"/>
      <c r="M123" s="858"/>
      <c r="N123" s="744"/>
      <c r="O123" s="744"/>
      <c r="P123" s="680"/>
    </row>
    <row r="124" spans="2:16" ht="12.75">
      <c r="B124" s="330"/>
      <c r="C124" s="735" t="str">
        <f>IF(D95="","-",+C123+1)</f>
        <v>-</v>
      </c>
      <c r="D124" s="679">
        <f t="shared" si="1"/>
        <v>0</v>
      </c>
      <c r="E124" s="741">
        <f t="shared" si="5"/>
        <v>0</v>
      </c>
      <c r="F124" s="679">
        <f t="shared" si="0"/>
        <v>0</v>
      </c>
      <c r="G124" s="736">
        <f t="shared" si="2"/>
        <v>0</v>
      </c>
      <c r="H124" s="742">
        <f t="shared" si="3"/>
        <v>0</v>
      </c>
      <c r="I124" s="739">
        <f t="shared" si="4"/>
        <v>0</v>
      </c>
      <c r="J124" s="739"/>
      <c r="K124" s="858"/>
      <c r="L124" s="744"/>
      <c r="M124" s="858"/>
      <c r="N124" s="744"/>
      <c r="O124" s="744"/>
      <c r="P124" s="680"/>
    </row>
    <row r="125" spans="2:16" ht="12.75">
      <c r="B125" s="330"/>
      <c r="C125" s="735" t="str">
        <f>IF(D95="","-",+C124+1)</f>
        <v>-</v>
      </c>
      <c r="D125" s="679">
        <f t="shared" si="1"/>
        <v>0</v>
      </c>
      <c r="E125" s="741">
        <f t="shared" si="5"/>
        <v>0</v>
      </c>
      <c r="F125" s="679">
        <f t="shared" si="0"/>
        <v>0</v>
      </c>
      <c r="G125" s="736">
        <f t="shared" si="2"/>
        <v>0</v>
      </c>
      <c r="H125" s="742">
        <f t="shared" si="3"/>
        <v>0</v>
      </c>
      <c r="I125" s="739">
        <f t="shared" si="4"/>
        <v>0</v>
      </c>
      <c r="J125" s="739"/>
      <c r="K125" s="858"/>
      <c r="L125" s="744"/>
      <c r="M125" s="858"/>
      <c r="N125" s="744"/>
      <c r="O125" s="744"/>
      <c r="P125" s="680"/>
    </row>
    <row r="126" spans="2:16" ht="12.75">
      <c r="B126" s="330"/>
      <c r="C126" s="735" t="str">
        <f>IF(D95="","-",+C125+1)</f>
        <v>-</v>
      </c>
      <c r="D126" s="679">
        <f t="shared" si="1"/>
        <v>0</v>
      </c>
      <c r="E126" s="741">
        <f t="shared" si="5"/>
        <v>0</v>
      </c>
      <c r="F126" s="679">
        <f t="shared" si="0"/>
        <v>0</v>
      </c>
      <c r="G126" s="736">
        <f t="shared" si="2"/>
        <v>0</v>
      </c>
      <c r="H126" s="742">
        <f t="shared" si="3"/>
        <v>0</v>
      </c>
      <c r="I126" s="739">
        <f t="shared" si="4"/>
        <v>0</v>
      </c>
      <c r="J126" s="739"/>
      <c r="K126" s="858"/>
      <c r="L126" s="744"/>
      <c r="M126" s="858"/>
      <c r="N126" s="744"/>
      <c r="O126" s="744"/>
      <c r="P126" s="680"/>
    </row>
    <row r="127" spans="2:16" ht="12.75">
      <c r="B127" s="330"/>
      <c r="C127" s="735" t="str">
        <f>IF(D95="","-",+C126+1)</f>
        <v>-</v>
      </c>
      <c r="D127" s="679">
        <f t="shared" si="1"/>
        <v>0</v>
      </c>
      <c r="E127" s="741">
        <f t="shared" si="5"/>
        <v>0</v>
      </c>
      <c r="F127" s="679">
        <f t="shared" si="0"/>
        <v>0</v>
      </c>
      <c r="G127" s="736">
        <f t="shared" si="2"/>
        <v>0</v>
      </c>
      <c r="H127" s="742">
        <f t="shared" si="3"/>
        <v>0</v>
      </c>
      <c r="I127" s="739">
        <f t="shared" si="4"/>
        <v>0</v>
      </c>
      <c r="J127" s="739"/>
      <c r="K127" s="858"/>
      <c r="L127" s="744"/>
      <c r="M127" s="858"/>
      <c r="N127" s="744"/>
      <c r="O127" s="744"/>
      <c r="P127" s="680"/>
    </row>
    <row r="128" spans="2:16" ht="12.75">
      <c r="B128" s="330"/>
      <c r="C128" s="735" t="str">
        <f>IF(D95="","-",+C127+1)</f>
        <v>-</v>
      </c>
      <c r="D128" s="679">
        <f t="shared" si="1"/>
        <v>0</v>
      </c>
      <c r="E128" s="741">
        <f t="shared" si="5"/>
        <v>0</v>
      </c>
      <c r="F128" s="679">
        <f t="shared" si="0"/>
        <v>0</v>
      </c>
      <c r="G128" s="736">
        <f t="shared" si="2"/>
        <v>0</v>
      </c>
      <c r="H128" s="742">
        <f t="shared" si="3"/>
        <v>0</v>
      </c>
      <c r="I128" s="739">
        <f t="shared" si="4"/>
        <v>0</v>
      </c>
      <c r="J128" s="739"/>
      <c r="K128" s="858"/>
      <c r="L128" s="744"/>
      <c r="M128" s="858"/>
      <c r="N128" s="744"/>
      <c r="O128" s="744"/>
      <c r="P128" s="680"/>
    </row>
    <row r="129" spans="2:16" ht="12.75">
      <c r="B129" s="330"/>
      <c r="C129" s="735" t="str">
        <f>IF(D95="","-",+C128+1)</f>
        <v>-</v>
      </c>
      <c r="D129" s="679">
        <f t="shared" si="1"/>
        <v>0</v>
      </c>
      <c r="E129" s="741">
        <f t="shared" si="5"/>
        <v>0</v>
      </c>
      <c r="F129" s="679">
        <f t="shared" si="0"/>
        <v>0</v>
      </c>
      <c r="G129" s="737">
        <f t="shared" si="2"/>
        <v>0</v>
      </c>
      <c r="H129" s="742">
        <f t="shared" si="3"/>
        <v>0</v>
      </c>
      <c r="I129" s="739">
        <f t="shared" si="4"/>
        <v>0</v>
      </c>
      <c r="J129" s="739"/>
      <c r="K129" s="858"/>
      <c r="L129" s="744"/>
      <c r="M129" s="858"/>
      <c r="N129" s="744"/>
      <c r="O129" s="744"/>
      <c r="P129" s="680"/>
    </row>
    <row r="130" spans="2:16" ht="12.75">
      <c r="B130" s="330"/>
      <c r="C130" s="735" t="str">
        <f>IF(D95="","-",+C129+1)</f>
        <v>-</v>
      </c>
      <c r="D130" s="679">
        <f t="shared" si="1"/>
        <v>0</v>
      </c>
      <c r="E130" s="741">
        <f t="shared" si="5"/>
        <v>0</v>
      </c>
      <c r="F130" s="679">
        <f t="shared" si="0"/>
        <v>0</v>
      </c>
      <c r="G130" s="736">
        <f t="shared" si="2"/>
        <v>0</v>
      </c>
      <c r="H130" s="742">
        <f t="shared" si="3"/>
        <v>0</v>
      </c>
      <c r="I130" s="739">
        <f t="shared" si="4"/>
        <v>0</v>
      </c>
      <c r="J130" s="739"/>
      <c r="K130" s="858"/>
      <c r="L130" s="744"/>
      <c r="M130" s="858"/>
      <c r="N130" s="744"/>
      <c r="O130" s="744"/>
      <c r="P130" s="680"/>
    </row>
    <row r="131" spans="2:16" ht="12.75">
      <c r="B131" s="330"/>
      <c r="C131" s="735" t="str">
        <f>IF(D95="","-",+C130+1)</f>
        <v>-</v>
      </c>
      <c r="D131" s="679">
        <f t="shared" si="1"/>
        <v>0</v>
      </c>
      <c r="E131" s="741">
        <f t="shared" si="5"/>
        <v>0</v>
      </c>
      <c r="F131" s="679">
        <f t="shared" si="0"/>
        <v>0</v>
      </c>
      <c r="G131" s="736">
        <f t="shared" si="2"/>
        <v>0</v>
      </c>
      <c r="H131" s="742">
        <f t="shared" si="3"/>
        <v>0</v>
      </c>
      <c r="I131" s="739">
        <f t="shared" si="4"/>
        <v>0</v>
      </c>
      <c r="J131" s="739"/>
      <c r="K131" s="858"/>
      <c r="L131" s="744"/>
      <c r="M131" s="858"/>
      <c r="N131" s="744"/>
      <c r="O131" s="744"/>
      <c r="P131" s="680"/>
    </row>
    <row r="132" spans="2:16" ht="12.75">
      <c r="B132" s="330"/>
      <c r="C132" s="735" t="str">
        <f>IF(D95="","-",+C131+1)</f>
        <v>-</v>
      </c>
      <c r="D132" s="679">
        <f t="shared" si="1"/>
        <v>0</v>
      </c>
      <c r="E132" s="741">
        <f t="shared" si="5"/>
        <v>0</v>
      </c>
      <c r="F132" s="679">
        <f t="shared" si="0"/>
        <v>0</v>
      </c>
      <c r="G132" s="736">
        <f t="shared" si="2"/>
        <v>0</v>
      </c>
      <c r="H132" s="742">
        <f t="shared" si="3"/>
        <v>0</v>
      </c>
      <c r="I132" s="739">
        <f t="shared" si="4"/>
        <v>0</v>
      </c>
      <c r="J132" s="739"/>
      <c r="K132" s="858"/>
      <c r="L132" s="744"/>
      <c r="M132" s="858"/>
      <c r="N132" s="744"/>
      <c r="O132" s="744"/>
      <c r="P132" s="680"/>
    </row>
    <row r="133" spans="2:16" ht="12.75">
      <c r="B133" s="330"/>
      <c r="C133" s="735" t="str">
        <f>IF(D95="","-",+C132+1)</f>
        <v>-</v>
      </c>
      <c r="D133" s="679">
        <f t="shared" si="1"/>
        <v>0</v>
      </c>
      <c r="E133" s="741">
        <f t="shared" si="5"/>
        <v>0</v>
      </c>
      <c r="F133" s="679">
        <f t="shared" si="0"/>
        <v>0</v>
      </c>
      <c r="G133" s="736">
        <f t="shared" si="2"/>
        <v>0</v>
      </c>
      <c r="H133" s="742">
        <f t="shared" si="3"/>
        <v>0</v>
      </c>
      <c r="I133" s="739">
        <f t="shared" si="4"/>
        <v>0</v>
      </c>
      <c r="J133" s="739"/>
      <c r="K133" s="858"/>
      <c r="L133" s="744"/>
      <c r="M133" s="858"/>
      <c r="N133" s="744"/>
      <c r="O133" s="744"/>
      <c r="P133" s="680"/>
    </row>
    <row r="134" spans="2:16" ht="12.75">
      <c r="B134" s="330"/>
      <c r="C134" s="735" t="str">
        <f>IF(D95="","-",+C133+1)</f>
        <v>-</v>
      </c>
      <c r="D134" s="679">
        <f t="shared" si="1"/>
        <v>0</v>
      </c>
      <c r="E134" s="741">
        <f t="shared" si="5"/>
        <v>0</v>
      </c>
      <c r="F134" s="679">
        <f t="shared" si="0"/>
        <v>0</v>
      </c>
      <c r="G134" s="736">
        <f t="shared" si="2"/>
        <v>0</v>
      </c>
      <c r="H134" s="742">
        <f t="shared" si="3"/>
        <v>0</v>
      </c>
      <c r="I134" s="739">
        <f t="shared" si="4"/>
        <v>0</v>
      </c>
      <c r="J134" s="739"/>
      <c r="K134" s="858"/>
      <c r="L134" s="744"/>
      <c r="M134" s="858"/>
      <c r="N134" s="744"/>
      <c r="O134" s="744"/>
      <c r="P134" s="680"/>
    </row>
    <row r="135" spans="2:16" ht="12.75">
      <c r="B135" s="330"/>
      <c r="C135" s="735" t="str">
        <f>IF(D95="","-",+C134+1)</f>
        <v>-</v>
      </c>
      <c r="D135" s="679">
        <f t="shared" si="1"/>
        <v>0</v>
      </c>
      <c r="E135" s="741">
        <f t="shared" si="5"/>
        <v>0</v>
      </c>
      <c r="F135" s="679">
        <f t="shared" si="0"/>
        <v>0</v>
      </c>
      <c r="G135" s="736">
        <f t="shared" si="2"/>
        <v>0</v>
      </c>
      <c r="H135" s="742">
        <f t="shared" si="3"/>
        <v>0</v>
      </c>
      <c r="I135" s="739">
        <f t="shared" si="4"/>
        <v>0</v>
      </c>
      <c r="J135" s="739"/>
      <c r="K135" s="858"/>
      <c r="L135" s="744"/>
      <c r="M135" s="858"/>
      <c r="N135" s="744"/>
      <c r="O135" s="744"/>
      <c r="P135" s="680"/>
    </row>
    <row r="136" spans="2:16" ht="12.75">
      <c r="B136" s="330"/>
      <c r="C136" s="735" t="str">
        <f>IF(D95="","-",+C135+1)</f>
        <v>-</v>
      </c>
      <c r="D136" s="679">
        <f t="shared" si="1"/>
        <v>0</v>
      </c>
      <c r="E136" s="741">
        <f t="shared" si="5"/>
        <v>0</v>
      </c>
      <c r="F136" s="679">
        <f t="shared" si="0"/>
        <v>0</v>
      </c>
      <c r="G136" s="736">
        <f t="shared" si="2"/>
        <v>0</v>
      </c>
      <c r="H136" s="742">
        <f t="shared" si="3"/>
        <v>0</v>
      </c>
      <c r="I136" s="739">
        <f t="shared" si="4"/>
        <v>0</v>
      </c>
      <c r="J136" s="739"/>
      <c r="K136" s="858"/>
      <c r="L136" s="744"/>
      <c r="M136" s="858"/>
      <c r="N136" s="744"/>
      <c r="O136" s="744"/>
      <c r="P136" s="680"/>
    </row>
    <row r="137" spans="2:16" ht="12.75">
      <c r="B137" s="330"/>
      <c r="C137" s="735" t="str">
        <f>IF(D95="","-",+C136+1)</f>
        <v>-</v>
      </c>
      <c r="D137" s="679">
        <f t="shared" si="1"/>
        <v>0</v>
      </c>
      <c r="E137" s="741">
        <f t="shared" si="5"/>
        <v>0</v>
      </c>
      <c r="F137" s="679">
        <f t="shared" si="0"/>
        <v>0</v>
      </c>
      <c r="G137" s="736">
        <f t="shared" si="2"/>
        <v>0</v>
      </c>
      <c r="H137" s="742">
        <f t="shared" si="3"/>
        <v>0</v>
      </c>
      <c r="I137" s="739">
        <f t="shared" si="4"/>
        <v>0</v>
      </c>
      <c r="J137" s="739"/>
      <c r="K137" s="858"/>
      <c r="L137" s="744"/>
      <c r="M137" s="858"/>
      <c r="N137" s="744"/>
      <c r="O137" s="744"/>
      <c r="P137" s="680"/>
    </row>
    <row r="138" spans="2:16" ht="12.75">
      <c r="B138" s="330"/>
      <c r="C138" s="735" t="str">
        <f>IF(D95="","-",+C137+1)</f>
        <v>-</v>
      </c>
      <c r="D138" s="679">
        <f t="shared" si="1"/>
        <v>0</v>
      </c>
      <c r="E138" s="741">
        <f t="shared" si="5"/>
        <v>0</v>
      </c>
      <c r="F138" s="679">
        <f t="shared" si="0"/>
        <v>0</v>
      </c>
      <c r="G138" s="736">
        <f t="shared" si="2"/>
        <v>0</v>
      </c>
      <c r="H138" s="742">
        <f t="shared" si="3"/>
        <v>0</v>
      </c>
      <c r="I138" s="739">
        <f t="shared" si="4"/>
        <v>0</v>
      </c>
      <c r="J138" s="739"/>
      <c r="K138" s="858"/>
      <c r="L138" s="744"/>
      <c r="M138" s="858"/>
      <c r="N138" s="744"/>
      <c r="O138" s="744"/>
      <c r="P138" s="680"/>
    </row>
    <row r="139" spans="2:16" ht="12.75">
      <c r="B139" s="330"/>
      <c r="C139" s="735" t="str">
        <f>IF(D95="","-",+C138+1)</f>
        <v>-</v>
      </c>
      <c r="D139" s="679">
        <f t="shared" si="1"/>
        <v>0</v>
      </c>
      <c r="E139" s="741">
        <f t="shared" si="5"/>
        <v>0</v>
      </c>
      <c r="F139" s="679">
        <f t="shared" si="0"/>
        <v>0</v>
      </c>
      <c r="G139" s="736">
        <f t="shared" si="2"/>
        <v>0</v>
      </c>
      <c r="H139" s="742">
        <f t="shared" si="3"/>
        <v>0</v>
      </c>
      <c r="I139" s="739">
        <f t="shared" si="4"/>
        <v>0</v>
      </c>
      <c r="J139" s="739"/>
      <c r="K139" s="858"/>
      <c r="L139" s="744"/>
      <c r="M139" s="858"/>
      <c r="N139" s="744"/>
      <c r="O139" s="744"/>
      <c r="P139" s="680"/>
    </row>
    <row r="140" spans="2:16" ht="12.75">
      <c r="B140" s="330"/>
      <c r="C140" s="735" t="str">
        <f>IF(D95="","-",+C139+1)</f>
        <v>-</v>
      </c>
      <c r="D140" s="679">
        <f t="shared" si="1"/>
        <v>0</v>
      </c>
      <c r="E140" s="741">
        <f t="shared" si="5"/>
        <v>0</v>
      </c>
      <c r="F140" s="679">
        <f t="shared" si="0"/>
        <v>0</v>
      </c>
      <c r="G140" s="736">
        <f t="shared" si="2"/>
        <v>0</v>
      </c>
      <c r="H140" s="742">
        <f t="shared" si="3"/>
        <v>0</v>
      </c>
      <c r="I140" s="739">
        <f t="shared" si="4"/>
        <v>0</v>
      </c>
      <c r="J140" s="739"/>
      <c r="K140" s="858"/>
      <c r="L140" s="744"/>
      <c r="M140" s="858"/>
      <c r="N140" s="744"/>
      <c r="O140" s="744"/>
      <c r="P140" s="680"/>
    </row>
    <row r="141" spans="2:16" ht="12.75">
      <c r="B141" s="330"/>
      <c r="C141" s="735" t="str">
        <f>IF(D95="","-",+C140+1)</f>
        <v>-</v>
      </c>
      <c r="D141" s="679">
        <f t="shared" si="1"/>
        <v>0</v>
      </c>
      <c r="E141" s="741">
        <f t="shared" si="5"/>
        <v>0</v>
      </c>
      <c r="F141" s="679">
        <f t="shared" si="0"/>
        <v>0</v>
      </c>
      <c r="G141" s="736">
        <f t="shared" si="2"/>
        <v>0</v>
      </c>
      <c r="H141" s="742">
        <f t="shared" si="3"/>
        <v>0</v>
      </c>
      <c r="I141" s="739">
        <f t="shared" si="4"/>
        <v>0</v>
      </c>
      <c r="J141" s="739"/>
      <c r="K141" s="858"/>
      <c r="L141" s="744"/>
      <c r="M141" s="858"/>
      <c r="N141" s="744"/>
      <c r="O141" s="744"/>
      <c r="P141" s="680"/>
    </row>
    <row r="142" spans="2:16" ht="12.75">
      <c r="B142" s="330"/>
      <c r="C142" s="735" t="str">
        <f>IF(D95="","-",+C141+1)</f>
        <v>-</v>
      </c>
      <c r="D142" s="679">
        <f t="shared" si="1"/>
        <v>0</v>
      </c>
      <c r="E142" s="741">
        <f t="shared" si="5"/>
        <v>0</v>
      </c>
      <c r="F142" s="679">
        <f t="shared" si="0"/>
        <v>0</v>
      </c>
      <c r="G142" s="736">
        <f t="shared" si="2"/>
        <v>0</v>
      </c>
      <c r="H142" s="742">
        <f t="shared" si="3"/>
        <v>0</v>
      </c>
      <c r="I142" s="739">
        <f t="shared" si="4"/>
        <v>0</v>
      </c>
      <c r="J142" s="739"/>
      <c r="K142" s="858"/>
      <c r="L142" s="744"/>
      <c r="M142" s="858"/>
      <c r="N142" s="744"/>
      <c r="O142" s="744"/>
      <c r="P142" s="680"/>
    </row>
    <row r="143" spans="2:16" ht="12.75">
      <c r="B143" s="330"/>
      <c r="C143" s="735" t="str">
        <f>IF(D95="","-",+C142+1)</f>
        <v>-</v>
      </c>
      <c r="D143" s="679">
        <f t="shared" si="1"/>
        <v>0</v>
      </c>
      <c r="E143" s="741">
        <f t="shared" si="5"/>
        <v>0</v>
      </c>
      <c r="F143" s="679">
        <f t="shared" si="0"/>
        <v>0</v>
      </c>
      <c r="G143" s="736">
        <f t="shared" si="2"/>
        <v>0</v>
      </c>
      <c r="H143" s="742">
        <f t="shared" si="3"/>
        <v>0</v>
      </c>
      <c r="I143" s="739">
        <f t="shared" si="4"/>
        <v>0</v>
      </c>
      <c r="J143" s="739"/>
      <c r="K143" s="858"/>
      <c r="L143" s="744"/>
      <c r="M143" s="858"/>
      <c r="N143" s="744"/>
      <c r="O143" s="744"/>
      <c r="P143" s="680"/>
    </row>
    <row r="144" spans="2:16" ht="12.75">
      <c r="B144" s="330"/>
      <c r="C144" s="735" t="str">
        <f>IF(D95="","-",+C143+1)</f>
        <v>-</v>
      </c>
      <c r="D144" s="679">
        <f t="shared" si="1"/>
        <v>0</v>
      </c>
      <c r="E144" s="741">
        <f t="shared" si="5"/>
        <v>0</v>
      </c>
      <c r="F144" s="679">
        <f t="shared" si="0"/>
        <v>0</v>
      </c>
      <c r="G144" s="736">
        <f t="shared" si="2"/>
        <v>0</v>
      </c>
      <c r="H144" s="742">
        <f t="shared" si="3"/>
        <v>0</v>
      </c>
      <c r="I144" s="739">
        <f t="shared" si="4"/>
        <v>0</v>
      </c>
      <c r="J144" s="739"/>
      <c r="K144" s="858"/>
      <c r="L144" s="744"/>
      <c r="M144" s="858"/>
      <c r="N144" s="744"/>
      <c r="O144" s="744"/>
      <c r="P144" s="680"/>
    </row>
    <row r="145" spans="2:16" ht="12.75">
      <c r="B145" s="330"/>
      <c r="C145" s="735" t="str">
        <f>IF(D95="","-",+C144+1)</f>
        <v>-</v>
      </c>
      <c r="D145" s="679">
        <f t="shared" si="1"/>
        <v>0</v>
      </c>
      <c r="E145" s="741">
        <f t="shared" si="5"/>
        <v>0</v>
      </c>
      <c r="F145" s="679">
        <f t="shared" si="0"/>
        <v>0</v>
      </c>
      <c r="G145" s="736">
        <f t="shared" si="2"/>
        <v>0</v>
      </c>
      <c r="H145" s="742">
        <f t="shared" si="3"/>
        <v>0</v>
      </c>
      <c r="I145" s="739">
        <f t="shared" si="4"/>
        <v>0</v>
      </c>
      <c r="J145" s="739"/>
      <c r="K145" s="858"/>
      <c r="L145" s="744"/>
      <c r="M145" s="858"/>
      <c r="N145" s="744"/>
      <c r="O145" s="744"/>
      <c r="P145" s="680"/>
    </row>
    <row r="146" spans="2:16" ht="12.75">
      <c r="B146" s="330"/>
      <c r="C146" s="735" t="str">
        <f>IF(D95="","-",+C145+1)</f>
        <v>-</v>
      </c>
      <c r="D146" s="679">
        <f t="shared" si="1"/>
        <v>0</v>
      </c>
      <c r="E146" s="741">
        <f t="shared" si="5"/>
        <v>0</v>
      </c>
      <c r="F146" s="679">
        <f t="shared" si="0"/>
        <v>0</v>
      </c>
      <c r="G146" s="736">
        <f t="shared" si="2"/>
        <v>0</v>
      </c>
      <c r="H146" s="742">
        <f t="shared" si="3"/>
        <v>0</v>
      </c>
      <c r="I146" s="739">
        <f t="shared" si="4"/>
        <v>0</v>
      </c>
      <c r="J146" s="739"/>
      <c r="K146" s="858"/>
      <c r="L146" s="744"/>
      <c r="M146" s="858"/>
      <c r="N146" s="744"/>
      <c r="O146" s="744"/>
      <c r="P146" s="680"/>
    </row>
    <row r="147" spans="2:16" ht="12.75">
      <c r="B147" s="330"/>
      <c r="C147" s="735" t="str">
        <f>IF(D95="","-",+C146+1)</f>
        <v>-</v>
      </c>
      <c r="D147" s="679">
        <f t="shared" si="1"/>
        <v>0</v>
      </c>
      <c r="E147" s="741">
        <f t="shared" si="5"/>
        <v>0</v>
      </c>
      <c r="F147" s="679">
        <f t="shared" si="0"/>
        <v>0</v>
      </c>
      <c r="G147" s="736">
        <f t="shared" si="2"/>
        <v>0</v>
      </c>
      <c r="H147" s="742">
        <f t="shared" si="3"/>
        <v>0</v>
      </c>
      <c r="I147" s="739">
        <f t="shared" si="4"/>
        <v>0</v>
      </c>
      <c r="J147" s="739"/>
      <c r="K147" s="858"/>
      <c r="L147" s="744"/>
      <c r="M147" s="858"/>
      <c r="N147" s="744"/>
      <c r="O147" s="744"/>
      <c r="P147" s="680"/>
    </row>
    <row r="148" spans="2:16" ht="12.75">
      <c r="B148" s="330"/>
      <c r="C148" s="735" t="str">
        <f>IF(D95="","-",+C147+1)</f>
        <v>-</v>
      </c>
      <c r="D148" s="679">
        <f t="shared" si="1"/>
        <v>0</v>
      </c>
      <c r="E148" s="741">
        <f t="shared" si="5"/>
        <v>0</v>
      </c>
      <c r="F148" s="679">
        <f t="shared" si="0"/>
        <v>0</v>
      </c>
      <c r="G148" s="736">
        <f t="shared" si="2"/>
        <v>0</v>
      </c>
      <c r="H148" s="742">
        <f t="shared" si="3"/>
        <v>0</v>
      </c>
      <c r="I148" s="739">
        <f t="shared" si="4"/>
        <v>0</v>
      </c>
      <c r="J148" s="739"/>
      <c r="K148" s="858"/>
      <c r="L148" s="744"/>
      <c r="M148" s="858"/>
      <c r="N148" s="744"/>
      <c r="O148" s="744"/>
      <c r="P148" s="680"/>
    </row>
    <row r="149" spans="2:16" ht="12.75">
      <c r="B149" s="330"/>
      <c r="C149" s="735" t="str">
        <f>IF(D95="","-",+C148+1)</f>
        <v>-</v>
      </c>
      <c r="D149" s="679">
        <f t="shared" si="1"/>
        <v>0</v>
      </c>
      <c r="E149" s="741">
        <f t="shared" si="5"/>
        <v>0</v>
      </c>
      <c r="F149" s="679">
        <f t="shared" si="0"/>
        <v>0</v>
      </c>
      <c r="G149" s="736">
        <f t="shared" si="2"/>
        <v>0</v>
      </c>
      <c r="H149" s="742">
        <f t="shared" si="3"/>
        <v>0</v>
      </c>
      <c r="I149" s="739">
        <f t="shared" si="4"/>
        <v>0</v>
      </c>
      <c r="J149" s="739"/>
      <c r="K149" s="858"/>
      <c r="L149" s="744"/>
      <c r="M149" s="858"/>
      <c r="N149" s="744"/>
      <c r="O149" s="744"/>
      <c r="P149" s="680"/>
    </row>
    <row r="150" spans="2:16" ht="12.75">
      <c r="B150" s="330"/>
      <c r="C150" s="735" t="str">
        <f>IF(D95="","-",+C149+1)</f>
        <v>-</v>
      </c>
      <c r="D150" s="679">
        <f t="shared" si="1"/>
        <v>0</v>
      </c>
      <c r="E150" s="741">
        <f t="shared" si="5"/>
        <v>0</v>
      </c>
      <c r="F150" s="679">
        <f t="shared" si="0"/>
        <v>0</v>
      </c>
      <c r="G150" s="736">
        <f t="shared" si="2"/>
        <v>0</v>
      </c>
      <c r="H150" s="742">
        <f t="shared" si="3"/>
        <v>0</v>
      </c>
      <c r="I150" s="739">
        <f t="shared" si="4"/>
        <v>0</v>
      </c>
      <c r="J150" s="739"/>
      <c r="K150" s="858"/>
      <c r="L150" s="744"/>
      <c r="M150" s="858"/>
      <c r="N150" s="744"/>
      <c r="O150" s="744"/>
      <c r="P150" s="680"/>
    </row>
    <row r="151" spans="2:16" ht="12.75">
      <c r="B151" s="330"/>
      <c r="C151" s="735" t="str">
        <f>IF(D95="","-",+C150+1)</f>
        <v>-</v>
      </c>
      <c r="D151" s="679">
        <f t="shared" si="1"/>
        <v>0</v>
      </c>
      <c r="E151" s="741">
        <f t="shared" si="5"/>
        <v>0</v>
      </c>
      <c r="F151" s="679">
        <f t="shared" si="0"/>
        <v>0</v>
      </c>
      <c r="G151" s="736">
        <f t="shared" si="2"/>
        <v>0</v>
      </c>
      <c r="H151" s="742">
        <f t="shared" si="3"/>
        <v>0</v>
      </c>
      <c r="I151" s="739">
        <f t="shared" si="4"/>
        <v>0</v>
      </c>
      <c r="J151" s="739"/>
      <c r="K151" s="858"/>
      <c r="L151" s="744"/>
      <c r="M151" s="858"/>
      <c r="N151" s="744"/>
      <c r="O151" s="744"/>
      <c r="P151" s="680"/>
    </row>
    <row r="152" spans="2:16" ht="12.75">
      <c r="B152" s="330"/>
      <c r="C152" s="735" t="str">
        <f>IF(D95="","-",+C151+1)</f>
        <v>-</v>
      </c>
      <c r="D152" s="679">
        <f t="shared" si="1"/>
        <v>0</v>
      </c>
      <c r="E152" s="741">
        <f t="shared" si="5"/>
        <v>0</v>
      </c>
      <c r="F152" s="679">
        <f t="shared" si="0"/>
        <v>0</v>
      </c>
      <c r="G152" s="736">
        <f t="shared" si="2"/>
        <v>0</v>
      </c>
      <c r="H152" s="742">
        <f t="shared" si="3"/>
        <v>0</v>
      </c>
      <c r="I152" s="739">
        <f t="shared" si="4"/>
        <v>0</v>
      </c>
      <c r="J152" s="739"/>
      <c r="K152" s="858"/>
      <c r="L152" s="744"/>
      <c r="M152" s="858"/>
      <c r="N152" s="744"/>
      <c r="O152" s="744"/>
      <c r="P152" s="680"/>
    </row>
    <row r="153" spans="2:16" ht="12.75">
      <c r="B153" s="330"/>
      <c r="C153" s="735" t="str">
        <f>IF(D95="","-",+C152+1)</f>
        <v>-</v>
      </c>
      <c r="D153" s="679">
        <f t="shared" si="1"/>
        <v>0</v>
      </c>
      <c r="E153" s="741">
        <f t="shared" si="5"/>
        <v>0</v>
      </c>
      <c r="F153" s="679">
        <f t="shared" si="0"/>
        <v>0</v>
      </c>
      <c r="G153" s="736">
        <f t="shared" si="2"/>
        <v>0</v>
      </c>
      <c r="H153" s="742">
        <f t="shared" si="3"/>
        <v>0</v>
      </c>
      <c r="I153" s="739">
        <f t="shared" si="4"/>
        <v>0</v>
      </c>
      <c r="J153" s="739"/>
      <c r="K153" s="858"/>
      <c r="L153" s="744"/>
      <c r="M153" s="858"/>
      <c r="N153" s="744"/>
      <c r="O153" s="744"/>
      <c r="P153" s="680"/>
    </row>
    <row r="154" spans="2:16" ht="12.75">
      <c r="B154" s="330"/>
      <c r="C154" s="735" t="str">
        <f>IF(D95="","-",+C153+1)</f>
        <v>-</v>
      </c>
      <c r="D154" s="679">
        <f t="shared" si="1"/>
        <v>0</v>
      </c>
      <c r="E154" s="741">
        <f t="shared" si="5"/>
        <v>0</v>
      </c>
      <c r="F154" s="679">
        <f t="shared" si="0"/>
        <v>0</v>
      </c>
      <c r="G154" s="736">
        <f t="shared" si="2"/>
        <v>0</v>
      </c>
      <c r="H154" s="742">
        <f t="shared" si="3"/>
        <v>0</v>
      </c>
      <c r="I154" s="739">
        <f t="shared" si="4"/>
        <v>0</v>
      </c>
      <c r="J154" s="739"/>
      <c r="K154" s="858"/>
      <c r="L154" s="744"/>
      <c r="M154" s="858"/>
      <c r="N154" s="744"/>
      <c r="O154" s="744"/>
      <c r="P154" s="680"/>
    </row>
    <row r="155" spans="2:16" ht="12.75">
      <c r="B155" s="330"/>
      <c r="C155" s="735" t="str">
        <f>IF(D95="","-",+C154+1)</f>
        <v>-</v>
      </c>
      <c r="D155" s="679">
        <f t="shared" si="1"/>
        <v>0</v>
      </c>
      <c r="E155" s="741">
        <f t="shared" si="5"/>
        <v>0</v>
      </c>
      <c r="F155" s="679">
        <f t="shared" si="0"/>
        <v>0</v>
      </c>
      <c r="G155" s="736">
        <f t="shared" si="2"/>
        <v>0</v>
      </c>
      <c r="H155" s="742">
        <f t="shared" si="3"/>
        <v>0</v>
      </c>
      <c r="I155" s="739">
        <f t="shared" si="4"/>
        <v>0</v>
      </c>
      <c r="J155" s="739"/>
      <c r="K155" s="858"/>
      <c r="L155" s="744"/>
      <c r="M155" s="858"/>
      <c r="N155" s="744"/>
      <c r="O155" s="744"/>
      <c r="P155" s="680"/>
    </row>
    <row r="156" spans="2:16" ht="12.75">
      <c r="B156" s="330"/>
      <c r="C156" s="735" t="str">
        <f>IF(D95="","-",+C155+1)</f>
        <v>-</v>
      </c>
      <c r="D156" s="679">
        <f t="shared" si="1"/>
        <v>0</v>
      </c>
      <c r="E156" s="741">
        <f t="shared" si="5"/>
        <v>0</v>
      </c>
      <c r="F156" s="679">
        <f t="shared" si="0"/>
        <v>0</v>
      </c>
      <c r="G156" s="736">
        <f t="shared" si="2"/>
        <v>0</v>
      </c>
      <c r="H156" s="742">
        <f t="shared" si="3"/>
        <v>0</v>
      </c>
      <c r="I156" s="739">
        <f t="shared" si="4"/>
        <v>0</v>
      </c>
      <c r="J156" s="739"/>
      <c r="K156" s="858"/>
      <c r="L156" s="744"/>
      <c r="M156" s="858"/>
      <c r="N156" s="744"/>
      <c r="O156" s="744"/>
      <c r="P156" s="680"/>
    </row>
    <row r="157" spans="2:16" ht="12.75">
      <c r="B157" s="330"/>
      <c r="C157" s="735" t="str">
        <f>IF(D95="","-",+C156+1)</f>
        <v>-</v>
      </c>
      <c r="D157" s="679">
        <f t="shared" si="1"/>
        <v>0</v>
      </c>
      <c r="E157" s="741">
        <f t="shared" si="5"/>
        <v>0</v>
      </c>
      <c r="F157" s="679">
        <f t="shared" si="0"/>
        <v>0</v>
      </c>
      <c r="G157" s="736">
        <f t="shared" si="2"/>
        <v>0</v>
      </c>
      <c r="H157" s="742">
        <f t="shared" si="3"/>
        <v>0</v>
      </c>
      <c r="I157" s="739">
        <f t="shared" si="4"/>
        <v>0</v>
      </c>
      <c r="J157" s="739"/>
      <c r="K157" s="858"/>
      <c r="L157" s="744"/>
      <c r="M157" s="858"/>
      <c r="N157" s="744"/>
      <c r="O157" s="744"/>
      <c r="P157" s="680"/>
    </row>
    <row r="158" spans="2:16" ht="12.75">
      <c r="B158" s="330"/>
      <c r="C158" s="735" t="str">
        <f>IF(D95="","-",+C157+1)</f>
        <v>-</v>
      </c>
      <c r="D158" s="679">
        <f t="shared" si="1"/>
        <v>0</v>
      </c>
      <c r="E158" s="741">
        <f t="shared" si="5"/>
        <v>0</v>
      </c>
      <c r="F158" s="679">
        <f t="shared" si="0"/>
        <v>0</v>
      </c>
      <c r="G158" s="736">
        <f t="shared" si="2"/>
        <v>0</v>
      </c>
      <c r="H158" s="742">
        <f t="shared" si="3"/>
        <v>0</v>
      </c>
      <c r="I158" s="739">
        <f t="shared" si="4"/>
        <v>0</v>
      </c>
      <c r="J158" s="739"/>
      <c r="K158" s="858"/>
      <c r="L158" s="744"/>
      <c r="M158" s="858"/>
      <c r="N158" s="744"/>
      <c r="O158" s="744"/>
      <c r="P158" s="680"/>
    </row>
    <row r="159" spans="2:16" ht="12.75">
      <c r="B159" s="330"/>
      <c r="C159" s="735" t="str">
        <f>IF(D95="","-",+C158+1)</f>
        <v>-</v>
      </c>
      <c r="D159" s="679">
        <f t="shared" si="1"/>
        <v>0</v>
      </c>
      <c r="E159" s="741">
        <f t="shared" si="5"/>
        <v>0</v>
      </c>
      <c r="F159" s="679">
        <f t="shared" si="0"/>
        <v>0</v>
      </c>
      <c r="G159" s="736">
        <f t="shared" si="2"/>
        <v>0</v>
      </c>
      <c r="H159" s="742">
        <f t="shared" si="3"/>
        <v>0</v>
      </c>
      <c r="I159" s="739">
        <f t="shared" si="4"/>
        <v>0</v>
      </c>
      <c r="J159" s="739"/>
      <c r="K159" s="858"/>
      <c r="L159" s="744"/>
      <c r="M159" s="858"/>
      <c r="N159" s="744"/>
      <c r="O159" s="744"/>
      <c r="P159" s="680"/>
    </row>
    <row r="160" spans="2:16" ht="13.5" thickBot="1">
      <c r="B160" s="330"/>
      <c r="C160" s="746" t="str">
        <f>IF(D95="","-",+C159+1)</f>
        <v>-</v>
      </c>
      <c r="D160" s="747">
        <f t="shared" si="1"/>
        <v>0</v>
      </c>
      <c r="E160" s="748">
        <f t="shared" si="5"/>
        <v>0</v>
      </c>
      <c r="F160" s="747">
        <f t="shared" si="0"/>
        <v>0</v>
      </c>
      <c r="G160" s="749">
        <f t="shared" si="2"/>
        <v>0</v>
      </c>
      <c r="H160" s="749">
        <f t="shared" si="3"/>
        <v>0</v>
      </c>
      <c r="I160" s="750">
        <f t="shared" si="4"/>
        <v>0</v>
      </c>
      <c r="J160" s="739"/>
      <c r="K160" s="859"/>
      <c r="L160" s="752"/>
      <c r="M160" s="859"/>
      <c r="N160" s="752"/>
      <c r="O160" s="752"/>
      <c r="P160" s="680"/>
    </row>
    <row r="161" spans="2:16" ht="12.75">
      <c r="B161" s="330"/>
      <c r="C161" s="679" t="s">
        <v>290</v>
      </c>
      <c r="D161" s="675"/>
      <c r="E161" s="675">
        <f>SUM(E101:E160)</f>
        <v>0</v>
      </c>
      <c r="F161" s="675"/>
      <c r="G161" s="675">
        <f>SUM(G101:G160)</f>
        <v>0</v>
      </c>
      <c r="H161" s="675">
        <f>SUM(H101:H160)</f>
        <v>0</v>
      </c>
      <c r="I161" s="675">
        <f>SUM(I101:I160)</f>
        <v>0</v>
      </c>
      <c r="J161" s="675"/>
      <c r="K161" s="675"/>
      <c r="L161" s="675"/>
      <c r="M161" s="675"/>
      <c r="N161" s="675"/>
      <c r="O161" s="546"/>
      <c r="P161" s="675"/>
    </row>
    <row r="162" spans="2:16" ht="12.75">
      <c r="B162" s="330"/>
      <c r="D162" s="569"/>
      <c r="E162" s="546"/>
      <c r="F162" s="546"/>
      <c r="G162" s="546"/>
      <c r="H162" s="652"/>
      <c r="I162" s="652"/>
      <c r="J162" s="675"/>
      <c r="K162" s="652"/>
      <c r="L162" s="652"/>
      <c r="M162" s="652"/>
      <c r="N162" s="652"/>
      <c r="O162" s="546"/>
      <c r="P162" s="675"/>
    </row>
    <row r="163" spans="2:16" ht="12.75">
      <c r="B163" s="330"/>
      <c r="C163" s="546" t="s">
        <v>605</v>
      </c>
      <c r="D163" s="569"/>
      <c r="E163" s="546"/>
      <c r="F163" s="546"/>
      <c r="G163" s="546"/>
      <c r="H163" s="652"/>
      <c r="I163" s="652"/>
      <c r="J163" s="675"/>
      <c r="K163" s="652"/>
      <c r="L163" s="652"/>
      <c r="M163" s="652"/>
      <c r="N163" s="652"/>
      <c r="O163" s="546"/>
      <c r="P163" s="675"/>
    </row>
    <row r="164" spans="2:16" ht="12.75">
      <c r="B164" s="330"/>
      <c r="D164" s="569"/>
      <c r="E164" s="546"/>
      <c r="F164" s="546"/>
      <c r="G164" s="546"/>
      <c r="H164" s="652"/>
      <c r="I164" s="652"/>
      <c r="J164" s="675"/>
      <c r="K164" s="652"/>
      <c r="L164" s="652"/>
      <c r="M164" s="652"/>
      <c r="N164" s="652"/>
      <c r="O164" s="546"/>
      <c r="P164" s="675"/>
    </row>
    <row r="165" spans="2:16" ht="12.75">
      <c r="B165" s="330"/>
      <c r="C165" s="582" t="s">
        <v>606</v>
      </c>
      <c r="D165" s="679"/>
      <c r="E165" s="679"/>
      <c r="F165" s="679"/>
      <c r="G165" s="675"/>
      <c r="H165" s="675"/>
      <c r="I165" s="680"/>
      <c r="J165" s="680"/>
      <c r="K165" s="680"/>
      <c r="L165" s="680"/>
      <c r="M165" s="680"/>
      <c r="N165" s="680"/>
      <c r="O165" s="546"/>
      <c r="P165" s="680"/>
    </row>
    <row r="166" spans="2:16" ht="12.75">
      <c r="B166" s="330"/>
      <c r="C166" s="582" t="s">
        <v>478</v>
      </c>
      <c r="D166" s="679"/>
      <c r="E166" s="679"/>
      <c r="F166" s="679"/>
      <c r="G166" s="675"/>
      <c r="H166" s="675"/>
      <c r="I166" s="680"/>
      <c r="J166" s="680"/>
      <c r="K166" s="680"/>
      <c r="L166" s="680"/>
      <c r="M166" s="680"/>
      <c r="N166" s="680"/>
      <c r="O166" s="546"/>
      <c r="P166" s="680"/>
    </row>
    <row r="167" spans="2:16" ht="12.75">
      <c r="B167" s="330"/>
      <c r="C167" s="582" t="s">
        <v>291</v>
      </c>
      <c r="D167" s="679"/>
      <c r="E167" s="679"/>
      <c r="F167" s="679"/>
      <c r="G167" s="675"/>
      <c r="H167" s="675"/>
      <c r="I167" s="680"/>
      <c r="J167" s="680"/>
      <c r="K167" s="680"/>
      <c r="L167" s="680"/>
      <c r="M167" s="680"/>
      <c r="N167" s="680"/>
      <c r="O167" s="546"/>
      <c r="P167" s="680"/>
    </row>
    <row r="168" spans="2:16" ht="12.75">
      <c r="B168" s="330"/>
      <c r="C168" s="678"/>
      <c r="D168" s="679"/>
      <c r="E168" s="679"/>
      <c r="F168" s="679"/>
      <c r="G168" s="675"/>
      <c r="H168" s="675"/>
      <c r="I168" s="680"/>
      <c r="J168" s="680"/>
      <c r="K168" s="680"/>
      <c r="L168" s="680"/>
      <c r="M168" s="680"/>
      <c r="N168" s="680"/>
      <c r="O168" s="546"/>
      <c r="P168" s="680"/>
    </row>
    <row r="169" spans="2:15" ht="12.75">
      <c r="B169" s="330"/>
      <c r="C169" s="1516" t="s">
        <v>462</v>
      </c>
      <c r="D169" s="1516"/>
      <c r="E169" s="1516"/>
      <c r="F169" s="1516"/>
      <c r="G169" s="1516"/>
      <c r="H169" s="1516"/>
      <c r="I169" s="1516"/>
      <c r="J169" s="1516"/>
      <c r="K169" s="1516"/>
      <c r="L169" s="1516"/>
      <c r="M169" s="1516"/>
      <c r="N169" s="1516"/>
      <c r="O169" s="1516"/>
    </row>
    <row r="170" spans="2:15" ht="12.75">
      <c r="B170" s="330"/>
      <c r="C170" s="1516"/>
      <c r="D170" s="1516"/>
      <c r="E170" s="1516"/>
      <c r="F170" s="1516"/>
      <c r="G170" s="1516"/>
      <c r="H170" s="1516"/>
      <c r="I170" s="1516"/>
      <c r="J170" s="1516"/>
      <c r="K170" s="1516"/>
      <c r="L170" s="1516"/>
      <c r="M170" s="1516"/>
      <c r="N170" s="1516"/>
      <c r="O170" s="1516"/>
    </row>
    <row r="171" ht="12.75">
      <c r="B171" s="330"/>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855"/>
  <sheetViews>
    <sheetView view="pageBreakPreview" zoomScale="85" zoomScaleSheetLayoutView="85" workbookViewId="0" topLeftCell="A835">
      <selection activeCell="A782" sqref="A782:A786"/>
    </sheetView>
  </sheetViews>
  <sheetFormatPr defaultColWidth="8.8515625" defaultRowHeight="12.75"/>
  <cols>
    <col min="1" max="1" width="4.7109375" style="330" customWidth="1"/>
    <col min="2" max="2" width="6.7109375" style="412" customWidth="1"/>
    <col min="3" max="3" width="32.28125" style="330" customWidth="1"/>
    <col min="4" max="4" width="17.7109375" style="424" customWidth="1"/>
    <col min="5" max="8" width="17.7109375" style="330" customWidth="1"/>
    <col min="9" max="9" width="17.7109375" style="595" customWidth="1"/>
    <col min="10" max="10" width="17.7109375" style="330" bestFit="1" customWidth="1"/>
    <col min="11" max="11" width="2.140625" style="314" customWidth="1"/>
    <col min="12" max="12" width="17.7109375" style="546" customWidth="1"/>
    <col min="13" max="13" width="31.8515625" style="546" customWidth="1"/>
    <col min="14" max="15" width="17.7109375" style="546" customWidth="1"/>
    <col min="16" max="16" width="16.7109375" style="546" customWidth="1"/>
    <col min="17" max="17" width="2.140625" style="546" customWidth="1"/>
    <col min="18" max="16384" width="8.8515625" style="330" customWidth="1"/>
  </cols>
  <sheetData>
    <row r="1" spans="1:17" ht="15">
      <c r="A1" s="1500" t="s">
        <v>389</v>
      </c>
      <c r="B1" s="1500"/>
      <c r="C1" s="1500"/>
      <c r="D1" s="1500"/>
      <c r="E1" s="1500"/>
      <c r="F1" s="1500"/>
      <c r="G1" s="1500"/>
      <c r="H1" s="1500"/>
      <c r="I1" s="1500"/>
      <c r="J1" s="1500"/>
      <c r="K1" s="1500"/>
      <c r="L1" s="1500"/>
      <c r="M1" s="1500"/>
      <c r="N1" s="1500"/>
      <c r="O1" s="1500"/>
      <c r="P1" s="1500"/>
      <c r="Q1" s="594"/>
    </row>
    <row r="2" spans="1:17" ht="15">
      <c r="A2" s="1501" t="str">
        <f>"Cost of Service Formula Rate Using "&amp;'I&amp;M TCOS'!L2&amp;" FF1 Balances"</f>
        <v>Cost of Service Formula Rate Using 2017 FF1 Balances</v>
      </c>
      <c r="B2" s="1501"/>
      <c r="C2" s="1501"/>
      <c r="D2" s="1501"/>
      <c r="E2" s="1501"/>
      <c r="F2" s="1501"/>
      <c r="G2" s="1501"/>
      <c r="H2" s="1501"/>
      <c r="I2" s="1501"/>
      <c r="J2" s="1501"/>
      <c r="K2" s="1501"/>
      <c r="L2" s="1501"/>
      <c r="M2" s="1501"/>
      <c r="N2" s="1501"/>
      <c r="O2" s="1501"/>
      <c r="P2" s="1501"/>
      <c r="Q2" s="594"/>
    </row>
    <row r="3" spans="1:17" ht="15">
      <c r="A3" s="1501" t="s">
        <v>471</v>
      </c>
      <c r="B3" s="1501"/>
      <c r="C3" s="1501"/>
      <c r="D3" s="1501"/>
      <c r="E3" s="1501"/>
      <c r="F3" s="1501"/>
      <c r="G3" s="1501"/>
      <c r="H3" s="1501"/>
      <c r="I3" s="1501"/>
      <c r="J3" s="1501"/>
      <c r="K3" s="1501"/>
      <c r="L3" s="1501"/>
      <c r="M3" s="1501"/>
      <c r="N3" s="1501"/>
      <c r="O3" s="1501"/>
      <c r="P3" s="1501"/>
      <c r="Q3" s="594"/>
    </row>
    <row r="4" spans="1:17" ht="15">
      <c r="A4" s="1502" t="str">
        <f>'I&amp;M TCOS'!F7</f>
        <v>INDIANA MICHIGAN POWER COMPANY</v>
      </c>
      <c r="B4" s="1502"/>
      <c r="C4" s="1502"/>
      <c r="D4" s="1502"/>
      <c r="E4" s="1502"/>
      <c r="F4" s="1502"/>
      <c r="G4" s="1502"/>
      <c r="H4" s="1502"/>
      <c r="I4" s="1502"/>
      <c r="J4" s="1502"/>
      <c r="K4" s="1502"/>
      <c r="L4" s="1502"/>
      <c r="M4" s="1502"/>
      <c r="N4" s="1502"/>
      <c r="O4" s="1502"/>
      <c r="P4" s="1502"/>
      <c r="Q4" s="594"/>
    </row>
    <row r="5" ht="12.75">
      <c r="Q5" s="594"/>
    </row>
    <row r="6" spans="1:17" ht="20.25">
      <c r="A6" s="596"/>
      <c r="C6" s="412"/>
      <c r="O6" s="597" t="str">
        <f>"Page "&amp;Q6&amp;" of "</f>
        <v>Page 1 of </v>
      </c>
      <c r="P6" s="598">
        <f>COUNT(Q$6:Q$57776)</f>
        <v>10</v>
      </c>
      <c r="Q6" s="599">
        <v>1</v>
      </c>
    </row>
    <row r="7" spans="3:17" ht="18">
      <c r="C7" s="600"/>
      <c r="Q7" s="594"/>
    </row>
    <row r="8" ht="12.75">
      <c r="Q8" s="594"/>
    </row>
    <row r="9" spans="2:17" ht="18">
      <c r="B9" s="601" t="s">
        <v>173</v>
      </c>
      <c r="C9" s="1523" t="str">
        <f>"Calculate Return and Income Taxes with "&amp;F15&amp;" basis point ROE increase for Projects Qualified for Regional Billing."</f>
        <v>Calculate Return and Income Taxes with 0 basis point ROE increase for Projects Qualified for Regional Billing.</v>
      </c>
      <c r="D9" s="1451"/>
      <c r="E9" s="1451"/>
      <c r="F9" s="1451"/>
      <c r="G9" s="1451"/>
      <c r="H9" s="1451"/>
      <c r="I9" s="1451"/>
      <c r="Q9" s="594"/>
    </row>
    <row r="10" spans="3:17" ht="18.75" customHeight="1">
      <c r="C10" s="1451"/>
      <c r="D10" s="1451"/>
      <c r="E10" s="1451"/>
      <c r="F10" s="1451"/>
      <c r="G10" s="1451"/>
      <c r="H10" s="1451"/>
      <c r="I10" s="1451"/>
      <c r="Q10" s="594"/>
    </row>
    <row r="11" spans="3:17" ht="15.75" customHeight="1">
      <c r="C11" s="531"/>
      <c r="D11" s="531"/>
      <c r="E11" s="531"/>
      <c r="F11" s="531"/>
      <c r="G11" s="531"/>
      <c r="H11" s="531"/>
      <c r="I11" s="531"/>
      <c r="Q11" s="594"/>
    </row>
    <row r="12" spans="3:17" ht="15.75">
      <c r="C12" s="602" t="str">
        <f>"A.   Determine 'R' with hypothetical "&amp;F15&amp;" basis point increase in ROE for Identified Projects"</f>
        <v>A.   Determine 'R' with hypothetical 0 basis point increase in ROE for Identified Projects</v>
      </c>
      <c r="D12" s="379"/>
      <c r="Q12" s="594"/>
    </row>
    <row r="13" spans="3:17" ht="12.75">
      <c r="C13" s="368"/>
      <c r="D13" s="379"/>
      <c r="Q13" s="594"/>
    </row>
    <row r="14" spans="3:17" ht="12.75">
      <c r="C14" s="603" t="str">
        <f>"   ROE w/o incentives  (TCOS, ln "&amp;'I&amp;M TCOS'!B255&amp;")"</f>
        <v>   ROE w/o incentives  (TCOS, ln 156)</v>
      </c>
      <c r="D14" s="379"/>
      <c r="E14" s="604"/>
      <c r="F14" s="753">
        <f>'I&amp;M TCOS'!J255</f>
        <v>0.1149</v>
      </c>
      <c r="G14" s="753"/>
      <c r="H14" s="604"/>
      <c r="I14" s="606"/>
      <c r="J14" s="606"/>
      <c r="K14" s="607"/>
      <c r="L14" s="606"/>
      <c r="M14" s="606"/>
      <c r="N14" s="606"/>
      <c r="O14" s="606"/>
      <c r="P14" s="606"/>
      <c r="Q14" s="607"/>
    </row>
    <row r="15" spans="3:17" ht="13.5" thickBot="1">
      <c r="C15" s="625" t="s">
        <v>254</v>
      </c>
      <c r="D15" s="379"/>
      <c r="E15" s="604"/>
      <c r="F15" s="849">
        <v>0</v>
      </c>
      <c r="G15" s="604"/>
      <c r="H15" s="604"/>
      <c r="I15" s="606"/>
      <c r="J15" s="606"/>
      <c r="K15" s="607"/>
      <c r="L15" s="606"/>
      <c r="M15" s="606"/>
      <c r="N15" s="606"/>
      <c r="O15" s="606"/>
      <c r="P15" s="606"/>
      <c r="Q15" s="607"/>
    </row>
    <row r="16" spans="3:17" ht="12.75">
      <c r="C16" s="625" t="str">
        <f>"   ROE with additional "&amp;F15&amp;" basis point incentive"</f>
        <v>   ROE with additional 0 basis point incentive</v>
      </c>
      <c r="D16" s="604"/>
      <c r="E16" s="604"/>
      <c r="F16" s="609">
        <f>IF((F14+(F15/10000)&gt;0.125),"ERROR",F14+(F15/10000))</f>
        <v>0.1149</v>
      </c>
      <c r="G16" s="610"/>
      <c r="H16" s="604"/>
      <c r="I16" s="606"/>
      <c r="J16" s="606"/>
      <c r="K16" s="607"/>
      <c r="L16" s="754" t="s">
        <v>456</v>
      </c>
      <c r="M16" s="755"/>
      <c r="N16" s="755"/>
      <c r="O16" s="755"/>
      <c r="P16" s="756"/>
      <c r="Q16" s="607"/>
    </row>
    <row r="17" spans="3:17" ht="12.75">
      <c r="C17" s="603" t="str">
        <f>"   Determine R  ( cost of long term debt, cost of preferred stock and equity percentage is from the TCOS, lns "&amp;'I&amp;M TCOS'!B253&amp;" through"&amp;'I&amp;M TCOS'!B255&amp;")"</f>
        <v>   Determine R  ( cost of long term debt, cost of preferred stock and equity percentage is from the TCOS, lns 154 through156)</v>
      </c>
      <c r="D17" s="379"/>
      <c r="E17" s="604"/>
      <c r="F17" s="611"/>
      <c r="G17" s="611"/>
      <c r="H17" s="604"/>
      <c r="I17" s="606"/>
      <c r="J17" s="606"/>
      <c r="K17" s="607"/>
      <c r="L17" s="757"/>
      <c r="M17" s="607"/>
      <c r="N17" s="607" t="s">
        <v>256</v>
      </c>
      <c r="O17" s="607" t="s">
        <v>257</v>
      </c>
      <c r="P17" s="758" t="s">
        <v>258</v>
      </c>
      <c r="Q17" s="607"/>
    </row>
    <row r="18" spans="3:17" ht="12.75">
      <c r="C18" s="607"/>
      <c r="D18" s="612" t="s">
        <v>148</v>
      </c>
      <c r="E18" s="612" t="s">
        <v>147</v>
      </c>
      <c r="F18" s="613" t="s">
        <v>255</v>
      </c>
      <c r="G18" s="613"/>
      <c r="H18" s="604"/>
      <c r="I18" s="606"/>
      <c r="J18" s="606"/>
      <c r="K18" s="607"/>
      <c r="L18" s="757" t="s">
        <v>454</v>
      </c>
      <c r="M18" s="759">
        <f>+'I&amp;M TCOS'!L2</f>
        <v>2017</v>
      </c>
      <c r="N18" s="594"/>
      <c r="O18" s="594"/>
      <c r="P18" s="760"/>
      <c r="Q18" s="607"/>
    </row>
    <row r="19" spans="3:17" ht="12.75">
      <c r="C19" s="614" t="s">
        <v>259</v>
      </c>
      <c r="D19" s="761">
        <f>'I&amp;M TCOS'!H253</f>
        <v>0.4921471775561808</v>
      </c>
      <c r="E19" s="616">
        <f>'I&amp;M TCOS'!J253</f>
        <v>0.04846982565729089</v>
      </c>
      <c r="F19" s="617">
        <f>E19*D19</f>
        <v>0.023854287893875867</v>
      </c>
      <c r="G19" s="617"/>
      <c r="H19" s="604"/>
      <c r="I19" s="606"/>
      <c r="J19" s="618"/>
      <c r="K19" s="619"/>
      <c r="L19" s="762"/>
      <c r="M19" s="763" t="s">
        <v>455</v>
      </c>
      <c r="N19" s="860">
        <f>M88+M175+M261+M347+M433+M519+M605+M691+M777</f>
        <v>6594270</v>
      </c>
      <c r="O19" s="860">
        <f>N88+N175+N261+N347+N433+N519+N605+N691+N777</f>
        <v>6594270</v>
      </c>
      <c r="P19" s="764">
        <f>+O19-N19</f>
        <v>0</v>
      </c>
      <c r="Q19" s="619"/>
    </row>
    <row r="20" spans="3:17" ht="13.5" thickBot="1">
      <c r="C20" s="614" t="s">
        <v>260</v>
      </c>
      <c r="D20" s="761">
        <f>'I&amp;M TCOS'!H254</f>
        <v>0</v>
      </c>
      <c r="E20" s="616">
        <f>'I&amp;M TCOS'!J254</f>
        <v>0</v>
      </c>
      <c r="F20" s="617">
        <f>E20*D20</f>
        <v>0</v>
      </c>
      <c r="G20" s="617"/>
      <c r="H20" s="620"/>
      <c r="I20" s="620"/>
      <c r="J20" s="621"/>
      <c r="K20" s="622"/>
      <c r="L20" s="762"/>
      <c r="M20" s="763" t="s">
        <v>261</v>
      </c>
      <c r="N20" s="861">
        <f>M89+M176+M262+M348+M434+M520+M606+M692+M778</f>
        <v>6345500.696159005</v>
      </c>
      <c r="O20" s="861">
        <f>N89+N176+N262+N348+N434+N520+N606+N692+N778</f>
        <v>6345500.696159005</v>
      </c>
      <c r="P20" s="765">
        <f>+O20-N20</f>
        <v>0</v>
      </c>
      <c r="Q20" s="622"/>
    </row>
    <row r="21" spans="3:17" ht="12.75">
      <c r="C21" s="623" t="s">
        <v>246</v>
      </c>
      <c r="D21" s="761">
        <f>'I&amp;M TCOS'!H255</f>
        <v>0.5078528224438192</v>
      </c>
      <c r="E21" s="616">
        <f>+F16</f>
        <v>0.1149</v>
      </c>
      <c r="F21" s="624">
        <f>E21*D21</f>
        <v>0.05835228929879483</v>
      </c>
      <c r="G21" s="624"/>
      <c r="H21" s="620"/>
      <c r="I21" s="620"/>
      <c r="J21" s="621"/>
      <c r="K21" s="622"/>
      <c r="L21" s="762"/>
      <c r="M21" s="763" t="str">
        <f>"True-up of ARR For "&amp;'I&amp;M TCOS'!L2&amp;""</f>
        <v>True-up of ARR For 2017</v>
      </c>
      <c r="N21" s="679">
        <f>+N20-N19</f>
        <v>-248769.30384099483</v>
      </c>
      <c r="O21" s="679">
        <f>+O20-O19</f>
        <v>-248769.30384099483</v>
      </c>
      <c r="P21" s="766">
        <f>+P20-P19</f>
        <v>0</v>
      </c>
      <c r="Q21" s="622"/>
    </row>
    <row r="22" spans="3:17" ht="12.75">
      <c r="C22" s="625"/>
      <c r="D22" s="330"/>
      <c r="E22" s="626" t="s">
        <v>262</v>
      </c>
      <c r="F22" s="617">
        <f>SUM(F19:F21)</f>
        <v>0.0822065771926707</v>
      </c>
      <c r="G22" s="617"/>
      <c r="H22" s="620"/>
      <c r="I22" s="620"/>
      <c r="J22" s="621"/>
      <c r="K22" s="622"/>
      <c r="L22" s="762"/>
      <c r="M22" s="594"/>
      <c r="N22" s="594"/>
      <c r="O22" s="594"/>
      <c r="P22" s="760"/>
      <c r="Q22" s="622"/>
    </row>
    <row r="23" spans="3:17" ht="13.5" thickBot="1">
      <c r="C23" s="368"/>
      <c r="D23" s="631"/>
      <c r="E23" s="631"/>
      <c r="F23" s="620"/>
      <c r="G23" s="620"/>
      <c r="H23" s="620"/>
      <c r="I23" s="620"/>
      <c r="J23" s="620"/>
      <c r="K23" s="632"/>
      <c r="L23" s="767"/>
      <c r="M23" s="768"/>
      <c r="N23" s="769"/>
      <c r="O23" s="769"/>
      <c r="P23" s="765"/>
      <c r="Q23" s="632"/>
    </row>
    <row r="24" spans="3:17" ht="15.75">
      <c r="C24" s="602" t="str">
        <f>"B.   Determine Return using 'R' with hypothetical "&amp;F15&amp;" basis point ROE increase for Identified Projects."</f>
        <v>B.   Determine Return using 'R' with hypothetical 0 basis point ROE increase for Identified Projects.</v>
      </c>
      <c r="D24" s="631"/>
      <c r="E24" s="631"/>
      <c r="F24" s="636"/>
      <c r="G24" s="636"/>
      <c r="H24" s="620"/>
      <c r="I24" s="604"/>
      <c r="J24" s="620"/>
      <c r="K24" s="632"/>
      <c r="L24" s="620"/>
      <c r="M24" s="620"/>
      <c r="N24" s="620"/>
      <c r="O24" s="620"/>
      <c r="P24" s="620"/>
      <c r="Q24" s="632"/>
    </row>
    <row r="25" spans="3:17" ht="12.75">
      <c r="C25" s="607"/>
      <c r="D25" s="631"/>
      <c r="E25" s="631"/>
      <c r="F25" s="632"/>
      <c r="G25" s="632"/>
      <c r="H25" s="632"/>
      <c r="I25" s="632"/>
      <c r="J25" s="632"/>
      <c r="K25" s="632"/>
      <c r="L25" s="632"/>
      <c r="M25" s="632"/>
      <c r="N25" s="632"/>
      <c r="O25" s="632"/>
      <c r="P25" s="632"/>
      <c r="Q25" s="632"/>
    </row>
    <row r="26" spans="3:17" ht="12.75">
      <c r="C26" s="641" t="str">
        <f>"   Rate Base  (TCOS, ln "&amp;'I&amp;M TCOS'!B123&amp;")"</f>
        <v>   Rate Base  (TCOS, ln 68)</v>
      </c>
      <c r="D26" s="604"/>
      <c r="E26" s="642">
        <f>'I&amp;M TCOS'!L123</f>
        <v>702899958.3661119</v>
      </c>
      <c r="F26" s="770"/>
      <c r="G26" s="770"/>
      <c r="H26" s="632"/>
      <c r="I26" s="632"/>
      <c r="J26" s="632"/>
      <c r="K26" s="632"/>
      <c r="L26" s="632"/>
      <c r="M26" s="632"/>
      <c r="N26" s="632"/>
      <c r="O26" s="632"/>
      <c r="P26" s="770"/>
      <c r="Q26" s="632"/>
    </row>
    <row r="27" spans="3:17" ht="12.75">
      <c r="C27" s="607" t="s">
        <v>476</v>
      </c>
      <c r="D27" s="644"/>
      <c r="E27" s="617">
        <f>F22</f>
        <v>0.0822065771926707</v>
      </c>
      <c r="F27" s="632"/>
      <c r="G27" s="632"/>
      <c r="H27" s="632"/>
      <c r="I27" s="632"/>
      <c r="J27" s="632"/>
      <c r="K27" s="632"/>
      <c r="L27" s="632"/>
      <c r="M27" s="632"/>
      <c r="N27" s="632"/>
      <c r="O27" s="632"/>
      <c r="P27" s="632"/>
      <c r="Q27" s="632"/>
    </row>
    <row r="28" spans="3:17" ht="12.75">
      <c r="C28" s="645" t="s">
        <v>264</v>
      </c>
      <c r="D28" s="645"/>
      <c r="E28" s="621">
        <f>E26*E27</f>
        <v>57782999.6861488</v>
      </c>
      <c r="F28" s="632"/>
      <c r="G28" s="632"/>
      <c r="H28" s="632"/>
      <c r="I28" s="632"/>
      <c r="J28" s="622"/>
      <c r="K28" s="622"/>
      <c r="L28" s="622"/>
      <c r="M28" s="622"/>
      <c r="N28" s="622"/>
      <c r="O28" s="622"/>
      <c r="P28" s="632"/>
      <c r="Q28" s="622"/>
    </row>
    <row r="29" spans="3:17" ht="12.75">
      <c r="C29" s="646"/>
      <c r="D29" s="606"/>
      <c r="E29" s="606"/>
      <c r="F29" s="632"/>
      <c r="G29" s="632"/>
      <c r="H29" s="632"/>
      <c r="I29" s="632"/>
      <c r="J29" s="622"/>
      <c r="K29" s="622"/>
      <c r="L29" s="622"/>
      <c r="M29" s="622"/>
      <c r="N29" s="622"/>
      <c r="O29" s="622"/>
      <c r="P29" s="632"/>
      <c r="Q29" s="622"/>
    </row>
    <row r="30" spans="3:17" ht="15.75">
      <c r="C30" s="602" t="str">
        <f>"C.   Determine Income Taxes using Return with hypothetical "&amp;F15&amp;" basis point ROE increase for Identified Projects."</f>
        <v>C.   Determine Income Taxes using Return with hypothetical 0 basis point ROE increase for Identified Projects.</v>
      </c>
      <c r="D30" s="647"/>
      <c r="E30" s="647"/>
      <c r="F30" s="648"/>
      <c r="G30" s="648"/>
      <c r="H30" s="648"/>
      <c r="I30" s="648"/>
      <c r="J30" s="649"/>
      <c r="K30" s="649"/>
      <c r="L30" s="649"/>
      <c r="M30" s="649"/>
      <c r="N30" s="649"/>
      <c r="O30" s="649"/>
      <c r="P30" s="648"/>
      <c r="Q30" s="649"/>
    </row>
    <row r="31" spans="3:17" ht="12.75">
      <c r="C31" s="625"/>
      <c r="D31" s="606"/>
      <c r="E31" s="606"/>
      <c r="F31" s="632"/>
      <c r="G31" s="632"/>
      <c r="H31" s="632"/>
      <c r="I31" s="632"/>
      <c r="J31" s="622"/>
      <c r="K31" s="622"/>
      <c r="L31" s="622"/>
      <c r="M31" s="622"/>
      <c r="N31" s="622"/>
      <c r="O31" s="622"/>
      <c r="P31" s="632"/>
      <c r="Q31" s="622"/>
    </row>
    <row r="32" spans="3:17" ht="12.75">
      <c r="C32" s="607" t="s">
        <v>265</v>
      </c>
      <c r="D32" s="626"/>
      <c r="E32" s="650">
        <f>E28</f>
        <v>57782999.6861488</v>
      </c>
      <c r="F32" s="632"/>
      <c r="G32" s="632"/>
      <c r="H32" s="632"/>
      <c r="I32" s="632"/>
      <c r="J32" s="632"/>
      <c r="K32" s="632"/>
      <c r="L32" s="632"/>
      <c r="M32" s="632"/>
      <c r="N32" s="632"/>
      <c r="O32" s="632"/>
      <c r="P32" s="632"/>
      <c r="Q32" s="632"/>
    </row>
    <row r="33" spans="3:17" ht="12.75">
      <c r="C33" s="641" t="str">
        <f>"   Effective Tax Rate  (TCOS, ln "&amp;'I&amp;M TCOS'!B188&amp;")"</f>
        <v>   Effective Tax Rate  (TCOS, ln 114)</v>
      </c>
      <c r="D33" s="569"/>
      <c r="E33" s="651">
        <f>'I&amp;M TCOS'!G188</f>
        <v>0.4494515419130636</v>
      </c>
      <c r="F33" s="546"/>
      <c r="G33" s="546"/>
      <c r="H33" s="546"/>
      <c r="I33" s="652"/>
      <c r="J33" s="546"/>
      <c r="K33" s="594"/>
      <c r="Q33" s="594"/>
    </row>
    <row r="34" spans="3:17" ht="12.75">
      <c r="C34" s="646" t="s">
        <v>266</v>
      </c>
      <c r="D34" s="569"/>
      <c r="E34" s="653">
        <f>E32*E33</f>
        <v>25970658.305301648</v>
      </c>
      <c r="F34" s="546"/>
      <c r="G34" s="546"/>
      <c r="H34" s="546"/>
      <c r="I34" s="652"/>
      <c r="J34" s="546"/>
      <c r="K34" s="594"/>
      <c r="Q34" s="594"/>
    </row>
    <row r="35" spans="3:17" ht="15">
      <c r="C35" s="625" t="s">
        <v>304</v>
      </c>
      <c r="D35" s="476"/>
      <c r="E35" s="654">
        <f>'I&amp;M TCOS'!L197</f>
        <v>-1415874.9227568654</v>
      </c>
      <c r="F35" s="476"/>
      <c r="G35" s="476"/>
      <c r="H35" s="476"/>
      <c r="I35" s="476"/>
      <c r="J35" s="476"/>
      <c r="K35" s="476"/>
      <c r="L35" s="476"/>
      <c r="M35" s="476"/>
      <c r="N35" s="476"/>
      <c r="O35" s="476"/>
      <c r="P35" s="388"/>
      <c r="Q35" s="476"/>
    </row>
    <row r="36" spans="3:17" ht="15">
      <c r="C36" s="625" t="s">
        <v>536</v>
      </c>
      <c r="D36" s="476"/>
      <c r="E36" s="654">
        <f>'I&amp;M TCOS'!L198</f>
        <v>-81554.79340192716</v>
      </c>
      <c r="F36" s="476"/>
      <c r="G36" s="476"/>
      <c r="H36" s="476"/>
      <c r="I36" s="476"/>
      <c r="J36" s="476"/>
      <c r="K36" s="476"/>
      <c r="L36" s="476"/>
      <c r="M36" s="476"/>
      <c r="N36" s="476"/>
      <c r="O36" s="476"/>
      <c r="P36" s="388"/>
      <c r="Q36" s="476"/>
    </row>
    <row r="37" spans="3:17" ht="15">
      <c r="C37" s="625" t="s">
        <v>537</v>
      </c>
      <c r="D37" s="476"/>
      <c r="E37" s="655">
        <f>'I&amp;M TCOS'!L199</f>
        <v>3307272.5788012412</v>
      </c>
      <c r="F37" s="476"/>
      <c r="G37" s="476"/>
      <c r="H37" s="476"/>
      <c r="I37" s="476"/>
      <c r="J37" s="476"/>
      <c r="K37" s="476"/>
      <c r="L37" s="476"/>
      <c r="M37" s="476"/>
      <c r="N37" s="476"/>
      <c r="O37" s="476"/>
      <c r="P37" s="388"/>
      <c r="Q37" s="476"/>
    </row>
    <row r="38" spans="3:17" ht="15">
      <c r="C38" s="646" t="s">
        <v>267</v>
      </c>
      <c r="D38" s="476"/>
      <c r="E38" s="654">
        <f>E34+E35+E36+E37</f>
        <v>27780501.167944096</v>
      </c>
      <c r="F38" s="476"/>
      <c r="G38" s="476"/>
      <c r="H38" s="476"/>
      <c r="I38" s="476"/>
      <c r="J38" s="476"/>
      <c r="K38" s="476"/>
      <c r="L38" s="476"/>
      <c r="M38" s="476"/>
      <c r="N38" s="476"/>
      <c r="O38" s="476"/>
      <c r="P38" s="346"/>
      <c r="Q38" s="476"/>
    </row>
    <row r="39" spans="3:17" ht="12.75" customHeight="1">
      <c r="C39" s="396"/>
      <c r="D39" s="476"/>
      <c r="E39" s="476"/>
      <c r="F39" s="476"/>
      <c r="G39" s="476"/>
      <c r="H39" s="476"/>
      <c r="I39" s="476"/>
      <c r="J39" s="476"/>
      <c r="K39" s="476"/>
      <c r="L39" s="476"/>
      <c r="M39" s="476"/>
      <c r="N39" s="476"/>
      <c r="O39" s="476"/>
      <c r="P39" s="346"/>
      <c r="Q39" s="476"/>
    </row>
    <row r="40" spans="2:17" ht="18.75">
      <c r="B40" s="601" t="s">
        <v>174</v>
      </c>
      <c r="C40" s="600" t="str">
        <f>"Calculate Net Plant Carrying Charge Rate (Fixed Charge Rate or FCR) with hypothetical "&amp;F15&amp;""</f>
        <v>Calculate Net Plant Carrying Charge Rate (Fixed Charge Rate or FCR) with hypothetical 0</v>
      </c>
      <c r="D40" s="476"/>
      <c r="E40" s="476"/>
      <c r="F40" s="476"/>
      <c r="G40" s="476"/>
      <c r="H40" s="476"/>
      <c r="I40" s="476"/>
      <c r="J40" s="476"/>
      <c r="K40" s="476"/>
      <c r="L40" s="476"/>
      <c r="M40" s="476"/>
      <c r="N40" s="476"/>
      <c r="O40" s="476"/>
      <c r="P40" s="346"/>
      <c r="Q40" s="476"/>
    </row>
    <row r="41" spans="3:17" ht="18.75" customHeight="1">
      <c r="C41" s="600" t="str">
        <f>"basis point ROE increase."</f>
        <v>basis point ROE increase.</v>
      </c>
      <c r="D41" s="476"/>
      <c r="E41" s="476"/>
      <c r="F41" s="476"/>
      <c r="G41" s="476"/>
      <c r="H41" s="476"/>
      <c r="I41" s="476"/>
      <c r="J41" s="476"/>
      <c r="K41" s="476"/>
      <c r="L41" s="476"/>
      <c r="M41" s="476"/>
      <c r="N41" s="476"/>
      <c r="O41" s="476"/>
      <c r="P41" s="346"/>
      <c r="Q41" s="476"/>
    </row>
    <row r="42" spans="3:17" ht="12.75" customHeight="1">
      <c r="C42" s="600"/>
      <c r="D42" s="476"/>
      <c r="E42" s="476"/>
      <c r="F42" s="476"/>
      <c r="G42" s="476"/>
      <c r="H42" s="476"/>
      <c r="I42" s="476"/>
      <c r="J42" s="476"/>
      <c r="K42" s="476"/>
      <c r="L42" s="476"/>
      <c r="M42" s="476"/>
      <c r="N42" s="476"/>
      <c r="O42" s="476"/>
      <c r="P42" s="346"/>
      <c r="Q42" s="476"/>
    </row>
    <row r="43" spans="3:17" ht="15.75">
      <c r="C43" s="602" t="s">
        <v>467</v>
      </c>
      <c r="D43" s="476"/>
      <c r="E43" s="476"/>
      <c r="F43" s="475"/>
      <c r="G43" s="475"/>
      <c r="H43" s="476"/>
      <c r="I43" s="476"/>
      <c r="J43" s="476"/>
      <c r="K43" s="476"/>
      <c r="L43" s="476"/>
      <c r="M43" s="476"/>
      <c r="N43" s="476"/>
      <c r="O43" s="476"/>
      <c r="P43" s="346"/>
      <c r="Q43" s="476"/>
    </row>
    <row r="44" spans="2:17" ht="12.75">
      <c r="B44" s="582"/>
      <c r="C44" s="603"/>
      <c r="D44" s="656"/>
      <c r="E44" s="656"/>
      <c r="F44" s="656"/>
      <c r="G44" s="656"/>
      <c r="H44" s="656"/>
      <c r="I44" s="656"/>
      <c r="J44" s="656"/>
      <c r="K44" s="656"/>
      <c r="L44" s="656"/>
      <c r="M44" s="656"/>
      <c r="N44" s="656"/>
      <c r="O44" s="656"/>
      <c r="P44" s="654"/>
      <c r="Q44" s="656"/>
    </row>
    <row r="45" spans="2:17" ht="12.75" customHeight="1">
      <c r="B45" s="582"/>
      <c r="C45" s="641" t="str">
        <f>"   Annual Revenue Requirement  (TCOS, ln "&amp;'I&amp;M TCOS'!B11&amp;")"</f>
        <v>   Annual Revenue Requirement  (TCOS, ln 1)</v>
      </c>
      <c r="D45" s="656"/>
      <c r="E45" s="656"/>
      <c r="F45" s="654">
        <f>'I&amp;M TCOS'!L11</f>
        <v>140896973.35194162</v>
      </c>
      <c r="G45" s="654"/>
      <c r="H45" s="771" t="s">
        <v>116</v>
      </c>
      <c r="I45" s="656"/>
      <c r="J45" s="656"/>
      <c r="K45" s="656"/>
      <c r="L45" s="656"/>
      <c r="M45" s="656"/>
      <c r="N45" s="656"/>
      <c r="O45" s="656"/>
      <c r="P45" s="654"/>
      <c r="Q45" s="656"/>
    </row>
    <row r="46" spans="2:17" ht="12.75" customHeight="1">
      <c r="B46" s="582"/>
      <c r="C46" s="641" t="str">
        <f>"   Lease Payments (TCOS, Ln "&amp;'I&amp;M TCOS'!B166&amp;")"</f>
        <v>   Lease Payments (TCOS, Ln 95)</v>
      </c>
      <c r="D46" s="656"/>
      <c r="E46" s="656"/>
      <c r="F46" s="654">
        <f>'I&amp;M TCOS'!L166</f>
        <v>0</v>
      </c>
      <c r="G46" s="654"/>
      <c r="H46" s="771"/>
      <c r="I46" s="656"/>
      <c r="J46" s="656"/>
      <c r="K46" s="656"/>
      <c r="L46" s="656"/>
      <c r="M46" s="656"/>
      <c r="N46" s="656"/>
      <c r="O46" s="656"/>
      <c r="P46" s="654"/>
      <c r="Q46" s="656"/>
    </row>
    <row r="47" spans="2:17" ht="12.75">
      <c r="B47" s="582"/>
      <c r="C47" s="641" t="str">
        <f>"   Return  (TCOS, ln "&amp;'I&amp;M TCOS'!B203&amp;")"</f>
        <v>   Return  (TCOS, ln 126)</v>
      </c>
      <c r="D47" s="656"/>
      <c r="E47" s="656"/>
      <c r="F47" s="657">
        <f>'I&amp;M TCOS'!L203</f>
        <v>57782999.6861488</v>
      </c>
      <c r="G47" s="657"/>
      <c r="H47" s="658"/>
      <c r="I47" s="658"/>
      <c r="J47" s="658"/>
      <c r="K47" s="658"/>
      <c r="L47" s="658"/>
      <c r="M47" s="658"/>
      <c r="N47" s="658"/>
      <c r="O47" s="658"/>
      <c r="P47" s="654"/>
      <c r="Q47" s="658"/>
    </row>
    <row r="48" spans="2:17" ht="12.75">
      <c r="B48" s="582"/>
      <c r="C48" s="641" t="str">
        <f>"   Income Taxes  (TCOS, ln "&amp;'I&amp;M TCOS'!B201&amp;")"</f>
        <v>   Income Taxes  (TCOS, ln 125)</v>
      </c>
      <c r="D48" s="656"/>
      <c r="E48" s="656"/>
      <c r="F48" s="659">
        <f>'I&amp;M TCOS'!L201</f>
        <v>27780501.167944096</v>
      </c>
      <c r="G48" s="659"/>
      <c r="H48" s="656"/>
      <c r="I48" s="656"/>
      <c r="J48" s="660"/>
      <c r="K48" s="660"/>
      <c r="L48" s="660"/>
      <c r="M48" s="660"/>
      <c r="N48" s="660"/>
      <c r="O48" s="660"/>
      <c r="P48" s="656"/>
      <c r="Q48" s="660"/>
    </row>
    <row r="49" spans="2:17" ht="12.75">
      <c r="B49" s="582"/>
      <c r="C49" s="1526" t="s">
        <v>596</v>
      </c>
      <c r="D49" s="1451"/>
      <c r="E49" s="656"/>
      <c r="F49" s="657">
        <f>F45-F47-F48-F46</f>
        <v>55333472.49784873</v>
      </c>
      <c r="G49" s="657"/>
      <c r="H49" s="662"/>
      <c r="I49" s="656"/>
      <c r="J49" s="662"/>
      <c r="K49" s="662"/>
      <c r="L49" s="662"/>
      <c r="M49" s="662"/>
      <c r="N49" s="662"/>
      <c r="O49" s="662"/>
      <c r="P49" s="662"/>
      <c r="Q49" s="662"/>
    </row>
    <row r="50" spans="2:17" ht="12.75">
      <c r="B50" s="582"/>
      <c r="C50" s="1451"/>
      <c r="D50" s="1451"/>
      <c r="E50" s="656"/>
      <c r="F50" s="654"/>
      <c r="G50" s="654"/>
      <c r="H50" s="663"/>
      <c r="I50" s="664"/>
      <c r="J50" s="664"/>
      <c r="K50" s="664"/>
      <c r="L50" s="664"/>
      <c r="M50" s="664"/>
      <c r="N50" s="664"/>
      <c r="O50" s="664"/>
      <c r="P50" s="664"/>
      <c r="Q50" s="664"/>
    </row>
    <row r="51" spans="2:17" ht="15.75">
      <c r="B51" s="582"/>
      <c r="C51" s="602" t="str">
        <f>"B.   Determine Annual Revenue Requirement with hypothetical "&amp;F15&amp;" basis point increase in ROE."</f>
        <v>B.   Determine Annual Revenue Requirement with hypothetical 0 basis point increase in ROE.</v>
      </c>
      <c r="D51" s="665"/>
      <c r="E51" s="665"/>
      <c r="F51" s="654"/>
      <c r="G51" s="654"/>
      <c r="H51" s="663"/>
      <c r="I51" s="664"/>
      <c r="J51" s="664"/>
      <c r="K51" s="664"/>
      <c r="L51" s="664"/>
      <c r="M51" s="664"/>
      <c r="N51" s="664"/>
      <c r="O51" s="664"/>
      <c r="P51" s="664"/>
      <c r="Q51" s="664"/>
    </row>
    <row r="52" spans="2:17" ht="12.75">
      <c r="B52" s="582"/>
      <c r="C52" s="603"/>
      <c r="D52" s="665"/>
      <c r="E52" s="665"/>
      <c r="F52" s="654"/>
      <c r="G52" s="654"/>
      <c r="H52" s="663"/>
      <c r="I52" s="664"/>
      <c r="J52" s="664"/>
      <c r="K52" s="664"/>
      <c r="L52" s="664"/>
      <c r="M52" s="664"/>
      <c r="N52" s="664"/>
      <c r="O52" s="664"/>
      <c r="P52" s="664"/>
      <c r="Q52" s="664"/>
    </row>
    <row r="53" spans="2:17" ht="12.75">
      <c r="B53" s="582"/>
      <c r="C53" s="603" t="str">
        <f>C49</f>
        <v>   Annual Revenue Requirement, Less Lease Payments, Return and Taxes</v>
      </c>
      <c r="D53" s="665"/>
      <c r="E53" s="665"/>
      <c r="F53" s="654">
        <f>F49</f>
        <v>55333472.49784873</v>
      </c>
      <c r="G53" s="654"/>
      <c r="H53" s="656"/>
      <c r="I53" s="656"/>
      <c r="J53" s="656"/>
      <c r="K53" s="656"/>
      <c r="L53" s="656"/>
      <c r="M53" s="656"/>
      <c r="N53" s="656"/>
      <c r="O53" s="656"/>
      <c r="P53" s="666"/>
      <c r="Q53" s="656"/>
    </row>
    <row r="54" spans="2:17" ht="12.75">
      <c r="B54" s="582"/>
      <c r="C54" s="607" t="s">
        <v>301</v>
      </c>
      <c r="D54" s="667"/>
      <c r="E54" s="661"/>
      <c r="F54" s="668">
        <f>E28</f>
        <v>57782999.6861488</v>
      </c>
      <c r="G54" s="668"/>
      <c r="H54" s="661"/>
      <c r="I54" s="669"/>
      <c r="J54" s="661"/>
      <c r="K54" s="661"/>
      <c r="L54" s="661"/>
      <c r="M54" s="661"/>
      <c r="N54" s="661"/>
      <c r="O54" s="661"/>
      <c r="P54" s="661"/>
      <c r="Q54" s="661"/>
    </row>
    <row r="55" spans="2:17" ht="12.75" customHeight="1">
      <c r="B55" s="582"/>
      <c r="C55" s="625" t="s">
        <v>268</v>
      </c>
      <c r="D55" s="656"/>
      <c r="E55" s="656"/>
      <c r="F55" s="659">
        <f>E38</f>
        <v>27780501.167944096</v>
      </c>
      <c r="G55" s="659"/>
      <c r="H55" s="546"/>
      <c r="I55" s="652"/>
      <c r="J55" s="546"/>
      <c r="K55" s="594"/>
      <c r="Q55" s="594"/>
    </row>
    <row r="56" spans="2:17" ht="12.75">
      <c r="B56" s="582"/>
      <c r="C56" s="661" t="str">
        <f>"   Annual Revenue Requirement, with "&amp;F15&amp;" Basis Point ROE increase"</f>
        <v>   Annual Revenue Requirement, with 0 Basis Point ROE increase</v>
      </c>
      <c r="D56" s="569"/>
      <c r="E56" s="546"/>
      <c r="F56" s="653">
        <f>SUM(F53:F55)</f>
        <v>140896973.35194162</v>
      </c>
      <c r="G56" s="653"/>
      <c r="H56" s="546"/>
      <c r="I56" s="652"/>
      <c r="J56" s="546"/>
      <c r="K56" s="594"/>
      <c r="Q56" s="594"/>
    </row>
    <row r="57" spans="2:17" ht="12.75">
      <c r="B57" s="582"/>
      <c r="C57" s="641" t="str">
        <f>"   Depreciation  (TCOS, ln "&amp;'I&amp;M TCOS'!B172&amp;")"</f>
        <v>   Depreciation  (TCOS, ln 100)</v>
      </c>
      <c r="D57" s="569"/>
      <c r="E57" s="546"/>
      <c r="F57" s="670">
        <f>'I&amp;M TCOS'!L172</f>
        <v>24691516.90055912</v>
      </c>
      <c r="G57" s="670"/>
      <c r="H57" s="653"/>
      <c r="I57" s="652"/>
      <c r="J57" s="546"/>
      <c r="K57" s="594"/>
      <c r="Q57" s="594"/>
    </row>
    <row r="58" spans="2:17" ht="12.75">
      <c r="B58" s="582"/>
      <c r="C58" s="1526" t="str">
        <f>"   Annual Rev. Req, w/ "&amp;F15&amp;" Basis Point ROE increase, less Depreciation"</f>
        <v>   Annual Rev. Req, w/ 0 Basis Point ROE increase, less Depreciation</v>
      </c>
      <c r="D58" s="1451"/>
      <c r="E58" s="546"/>
      <c r="F58" s="653">
        <f>F56-F57</f>
        <v>116205456.45138249</v>
      </c>
      <c r="G58" s="653"/>
      <c r="H58" s="546"/>
      <c r="I58" s="652"/>
      <c r="J58" s="546"/>
      <c r="K58" s="594"/>
      <c r="Q58" s="594"/>
    </row>
    <row r="59" spans="2:17" ht="12.75">
      <c r="B59" s="582"/>
      <c r="C59" s="1451"/>
      <c r="D59" s="1451"/>
      <c r="E59" s="546"/>
      <c r="F59" s="546"/>
      <c r="G59" s="546"/>
      <c r="H59" s="546"/>
      <c r="I59" s="652"/>
      <c r="J59" s="546"/>
      <c r="K59" s="594"/>
      <c r="Q59" s="594"/>
    </row>
    <row r="60" spans="2:17" ht="15.75">
      <c r="B60" s="582"/>
      <c r="C60" s="602" t="str">
        <f>"C.   Determine FCR with hypothetical "&amp;F15&amp;" basis point ROE increase."</f>
        <v>C.   Determine FCR with hypothetical 0 basis point ROE increase.</v>
      </c>
      <c r="D60" s="569"/>
      <c r="E60" s="546"/>
      <c r="F60" s="546"/>
      <c r="G60" s="546"/>
      <c r="H60" s="546"/>
      <c r="I60" s="652"/>
      <c r="J60" s="546"/>
      <c r="K60" s="594"/>
      <c r="Q60" s="594"/>
    </row>
    <row r="61" spans="2:17" ht="12.75">
      <c r="B61" s="582"/>
      <c r="C61" s="546"/>
      <c r="D61" s="569"/>
      <c r="E61" s="546"/>
      <c r="F61" s="546"/>
      <c r="G61" s="546"/>
      <c r="H61" s="546"/>
      <c r="I61" s="652"/>
      <c r="J61" s="546"/>
      <c r="K61" s="594"/>
      <c r="Q61" s="594"/>
    </row>
    <row r="62" spans="2:17" ht="12.75">
      <c r="B62" s="582"/>
      <c r="C62" s="641" t="str">
        <f>"   Net Transmission Plant  (TCOS, ln "&amp;'I&amp;M TCOS'!B89&amp;")"</f>
        <v>   Net Transmission Plant  (TCOS, ln 42)</v>
      </c>
      <c r="D62" s="569"/>
      <c r="E62" s="546"/>
      <c r="F62" s="653">
        <f>'I&amp;M TCOS'!L89</f>
        <v>903557606.1049999</v>
      </c>
      <c r="G62" s="653"/>
      <c r="H62" s="653"/>
      <c r="I62" s="671"/>
      <c r="J62" s="546"/>
      <c r="K62" s="594"/>
      <c r="Q62" s="594"/>
    </row>
    <row r="63" spans="2:17" ht="12.75">
      <c r="B63" s="582"/>
      <c r="C63" s="661" t="str">
        <f>"   Annual Revenue Requirement, with "&amp;F15&amp;" Basis Point ROE increase"</f>
        <v>   Annual Revenue Requirement, with 0 Basis Point ROE increase</v>
      </c>
      <c r="D63" s="569"/>
      <c r="E63" s="546"/>
      <c r="F63" s="653">
        <f>F56</f>
        <v>140896973.35194162</v>
      </c>
      <c r="G63" s="653"/>
      <c r="H63" s="546"/>
      <c r="I63" s="652"/>
      <c r="J63" s="546"/>
      <c r="K63" s="594"/>
      <c r="Q63" s="594"/>
    </row>
    <row r="64" spans="2:17" ht="12.75">
      <c r="B64" s="582"/>
      <c r="C64" s="661" t="str">
        <f>"   FCR with "&amp;F15&amp;" Basis Point increase in ROE"</f>
        <v>   FCR with 0 Basis Point increase in ROE</v>
      </c>
      <c r="D64" s="569"/>
      <c r="E64" s="546"/>
      <c r="F64" s="651">
        <f>F63/F62</f>
        <v>0.15593579468531238</v>
      </c>
      <c r="G64" s="651"/>
      <c r="H64" s="651"/>
      <c r="I64" s="652"/>
      <c r="J64" s="546"/>
      <c r="K64" s="594"/>
      <c r="Q64" s="594"/>
    </row>
    <row r="65" spans="2:17" ht="12.75">
      <c r="B65" s="582"/>
      <c r="C65" s="368"/>
      <c r="D65" s="569"/>
      <c r="E65" s="546"/>
      <c r="F65" s="582"/>
      <c r="G65" s="582"/>
      <c r="H65" s="546"/>
      <c r="I65" s="652"/>
      <c r="J65" s="546"/>
      <c r="K65" s="594"/>
      <c r="Q65" s="594"/>
    </row>
    <row r="66" spans="2:17" ht="12.75">
      <c r="B66" s="582"/>
      <c r="C66" s="661" t="str">
        <f>"   Annual Rev. Req, w / "&amp;F15&amp;" Basis Point ROE increase, less Dep."</f>
        <v>   Annual Rev. Req, w / 0 Basis Point ROE increase, less Dep.</v>
      </c>
      <c r="D66" s="569"/>
      <c r="E66" s="546"/>
      <c r="F66" s="653">
        <f>F58</f>
        <v>116205456.45138249</v>
      </c>
      <c r="G66" s="653"/>
      <c r="H66" s="546"/>
      <c r="I66" s="652"/>
      <c r="J66" s="546"/>
      <c r="K66" s="594"/>
      <c r="Q66" s="594"/>
    </row>
    <row r="67" spans="2:17" ht="12.75">
      <c r="B67" s="582"/>
      <c r="C67" s="661" t="str">
        <f>"   FCR with "&amp;F15&amp;" Basis Point ROE increase, less Depreciation"</f>
        <v>   FCR with 0 Basis Point ROE increase, less Depreciation</v>
      </c>
      <c r="D67" s="569"/>
      <c r="E67" s="546"/>
      <c r="F67" s="651">
        <f>F66/F62</f>
        <v>0.12860879667906705</v>
      </c>
      <c r="G67" s="651"/>
      <c r="H67" s="546"/>
      <c r="I67" s="652"/>
      <c r="J67" s="546"/>
      <c r="K67" s="594"/>
      <c r="Q67" s="594"/>
    </row>
    <row r="68" spans="2:17" ht="12.75">
      <c r="B68" s="582"/>
      <c r="C68" s="641" t="str">
        <f>"   FCR less Depreciation  (TCOS, ln "&amp;'I&amp;M TCOS'!B32&amp;")"</f>
        <v>   FCR less Depreciation  (TCOS, ln 10)</v>
      </c>
      <c r="D68" s="569"/>
      <c r="E68" s="546"/>
      <c r="F68" s="672">
        <f>'I&amp;M TCOS'!L32</f>
        <v>0.12860879667906705</v>
      </c>
      <c r="G68" s="672"/>
      <c r="H68" s="546"/>
      <c r="I68" s="652"/>
      <c r="J68" s="546"/>
      <c r="K68" s="594"/>
      <c r="Q68" s="594"/>
    </row>
    <row r="69" spans="2:17" ht="12.75">
      <c r="B69" s="582"/>
      <c r="C69" s="1526" t="str">
        <f>"   Incremental FCR with "&amp;F15&amp;" Basis Point ROE increase, less Depreciation"</f>
        <v>   Incremental FCR with 0 Basis Point ROE increase, less Depreciation</v>
      </c>
      <c r="D69" s="1451"/>
      <c r="E69" s="546"/>
      <c r="F69" s="651">
        <f>F67-F68</f>
        <v>0</v>
      </c>
      <c r="G69" s="651"/>
      <c r="H69" s="546"/>
      <c r="I69" s="652"/>
      <c r="J69" s="546"/>
      <c r="K69" s="594"/>
      <c r="Q69" s="594"/>
    </row>
    <row r="70" spans="2:17" ht="12.75">
      <c r="B70" s="582"/>
      <c r="C70" s="1451"/>
      <c r="D70" s="1451"/>
      <c r="E70" s="546"/>
      <c r="F70" s="651"/>
      <c r="G70" s="651"/>
      <c r="H70" s="546"/>
      <c r="I70" s="652"/>
      <c r="J70" s="546"/>
      <c r="K70" s="594"/>
      <c r="Q70" s="594"/>
    </row>
    <row r="71" spans="2:17" ht="18.75">
      <c r="B71" s="601" t="s">
        <v>175</v>
      </c>
      <c r="C71" s="600" t="s">
        <v>269</v>
      </c>
      <c r="D71" s="569"/>
      <c r="E71" s="546"/>
      <c r="F71" s="651"/>
      <c r="G71" s="651"/>
      <c r="H71" s="546"/>
      <c r="I71" s="652"/>
      <c r="J71" s="546"/>
      <c r="K71" s="594"/>
      <c r="Q71" s="594"/>
    </row>
    <row r="72" spans="2:17" ht="12.75">
      <c r="B72" s="582"/>
      <c r="C72" s="661"/>
      <c r="D72" s="569"/>
      <c r="E72" s="546"/>
      <c r="F72" s="651"/>
      <c r="G72" s="651"/>
      <c r="H72" s="546"/>
      <c r="I72" s="652"/>
      <c r="J72" s="546"/>
      <c r="K72" s="594"/>
      <c r="Q72" s="594"/>
    </row>
    <row r="73" spans="2:17" ht="12.75">
      <c r="B73" s="582"/>
      <c r="C73" s="661" t="str">
        <f>+"Average Transmission Plant Balance for "&amp;'I&amp;M TCOS'!L2&amp;" (TCOS, ln "&amp;'I&amp;M TCOS'!B66&amp;")"</f>
        <v>Average Transmission Plant Balance for 2017 (TCOS, ln 21)</v>
      </c>
      <c r="D73" s="569"/>
      <c r="H73" s="652">
        <f>'I&amp;M TCOS'!L66</f>
        <v>1429476849.61</v>
      </c>
      <c r="J73" s="546"/>
      <c r="K73" s="594"/>
      <c r="Q73" s="594"/>
    </row>
    <row r="74" spans="2:17" ht="12.75">
      <c r="B74" s="582"/>
      <c r="C74" s="673" t="str">
        <f>"Annual Depreciation and Amortization Expense (TCOS, ln "&amp;'I&amp;M TCOS'!B172&amp;")"</f>
        <v>Annual Depreciation and Amortization Expense (TCOS, ln 100)</v>
      </c>
      <c r="D74" s="569"/>
      <c r="E74" s="546"/>
      <c r="H74" s="674">
        <f>'I&amp;M TCOS'!L172</f>
        <v>24691516.90055912</v>
      </c>
      <c r="I74" s="652"/>
      <c r="J74" s="546"/>
      <c r="K74" s="594"/>
      <c r="Q74" s="594"/>
    </row>
    <row r="75" spans="2:17" ht="12.75">
      <c r="B75" s="582"/>
      <c r="C75" s="661" t="s">
        <v>270</v>
      </c>
      <c r="D75" s="569"/>
      <c r="E75" s="546"/>
      <c r="H75" s="651">
        <f>+H74/H73</f>
        <v>0.017273114221678817</v>
      </c>
      <c r="I75" s="676"/>
      <c r="J75" s="546"/>
      <c r="K75" s="594"/>
      <c r="Q75" s="594"/>
    </row>
    <row r="76" spans="2:17" ht="12.75">
      <c r="B76" s="582"/>
      <c r="C76" s="661" t="s">
        <v>271</v>
      </c>
      <c r="D76" s="569"/>
      <c r="E76" s="546"/>
      <c r="H76" s="676">
        <f>1/H75</f>
        <v>57.8934398954497</v>
      </c>
      <c r="I76" s="652"/>
      <c r="J76" s="546"/>
      <c r="K76" s="594"/>
      <c r="Q76" s="594"/>
    </row>
    <row r="77" spans="2:17" ht="12.75">
      <c r="B77" s="582"/>
      <c r="C77" s="661" t="s">
        <v>272</v>
      </c>
      <c r="D77" s="569"/>
      <c r="E77" s="546"/>
      <c r="H77" s="677">
        <f>ROUND(H76,0)</f>
        <v>58</v>
      </c>
      <c r="I77" s="652"/>
      <c r="J77" s="546"/>
      <c r="K77" s="594"/>
      <c r="Q77" s="594"/>
    </row>
    <row r="78" spans="2:17" ht="12.75">
      <c r="B78" s="582"/>
      <c r="C78" s="661"/>
      <c r="D78" s="569"/>
      <c r="E78" s="546"/>
      <c r="H78" s="677"/>
      <c r="I78" s="652"/>
      <c r="J78" s="546"/>
      <c r="K78" s="594"/>
      <c r="Q78" s="594"/>
    </row>
    <row r="79" spans="3:17" ht="12.75">
      <c r="C79" s="678"/>
      <c r="D79" s="679"/>
      <c r="E79" s="679"/>
      <c r="F79" s="679"/>
      <c r="G79" s="679"/>
      <c r="H79" s="675"/>
      <c r="I79" s="675"/>
      <c r="J79" s="680"/>
      <c r="K79" s="680"/>
      <c r="L79" s="680"/>
      <c r="M79" s="680"/>
      <c r="N79" s="680"/>
      <c r="O79" s="680"/>
      <c r="Q79" s="680"/>
    </row>
    <row r="80" spans="2:17" ht="12.75">
      <c r="B80" s="330"/>
      <c r="C80" s="678"/>
      <c r="D80" s="679"/>
      <c r="E80" s="679"/>
      <c r="F80" s="679"/>
      <c r="G80" s="679"/>
      <c r="H80" s="675"/>
      <c r="I80" s="675"/>
      <c r="J80" s="680"/>
      <c r="K80" s="680"/>
      <c r="L80" s="680"/>
      <c r="M80" s="680"/>
      <c r="N80" s="680"/>
      <c r="O80" s="680"/>
      <c r="Q80" s="680"/>
    </row>
    <row r="81" spans="1:17" ht="20.25">
      <c r="A81" s="681" t="s">
        <v>762</v>
      </c>
      <c r="B81" s="546"/>
      <c r="C81" s="661"/>
      <c r="D81" s="569"/>
      <c r="E81" s="546"/>
      <c r="F81" s="651"/>
      <c r="G81" s="651"/>
      <c r="H81" s="546"/>
      <c r="I81" s="652"/>
      <c r="L81" s="682"/>
      <c r="M81" s="682"/>
      <c r="N81" s="682"/>
      <c r="O81" s="597" t="str">
        <f>"Page "&amp;SUM(Q$1:Q81)&amp;" of "</f>
        <v>Page 2 of </v>
      </c>
      <c r="P81" s="598">
        <f>COUNT(Q$6:Q$57776)</f>
        <v>10</v>
      </c>
      <c r="Q81" s="772">
        <v>1</v>
      </c>
    </row>
    <row r="82" spans="2:17" ht="12.75">
      <c r="B82" s="546"/>
      <c r="C82" s="546"/>
      <c r="D82" s="569"/>
      <c r="E82" s="546"/>
      <c r="F82" s="546"/>
      <c r="G82" s="546"/>
      <c r="H82" s="546"/>
      <c r="I82" s="652"/>
      <c r="J82" s="546"/>
      <c r="K82" s="594"/>
      <c r="Q82" s="594"/>
    </row>
    <row r="83" spans="2:17" ht="18">
      <c r="B83" s="601" t="s">
        <v>176</v>
      </c>
      <c r="C83" s="683" t="s">
        <v>292</v>
      </c>
      <c r="D83" s="569"/>
      <c r="E83" s="546"/>
      <c r="F83" s="546"/>
      <c r="G83" s="546"/>
      <c r="H83" s="546"/>
      <c r="I83" s="652"/>
      <c r="J83" s="652"/>
      <c r="K83" s="675"/>
      <c r="L83" s="652"/>
      <c r="M83" s="652"/>
      <c r="N83" s="652"/>
      <c r="O83" s="652"/>
      <c r="Q83" s="675"/>
    </row>
    <row r="84" spans="2:17" ht="18.75">
      <c r="B84" s="601"/>
      <c r="C84" s="600"/>
      <c r="D84" s="569"/>
      <c r="E84" s="546"/>
      <c r="F84" s="546"/>
      <c r="G84" s="546"/>
      <c r="H84" s="546"/>
      <c r="I84" s="652"/>
      <c r="J84" s="652"/>
      <c r="K84" s="675"/>
      <c r="L84" s="652"/>
      <c r="M84" s="652"/>
      <c r="N84" s="652"/>
      <c r="O84" s="652"/>
      <c r="Q84" s="675"/>
    </row>
    <row r="85" spans="2:17" ht="18.75">
      <c r="B85" s="601"/>
      <c r="C85" s="600" t="s">
        <v>293</v>
      </c>
      <c r="D85" s="569"/>
      <c r="E85" s="546"/>
      <c r="F85" s="546"/>
      <c r="G85" s="546"/>
      <c r="H85" s="546"/>
      <c r="I85" s="652"/>
      <c r="J85" s="652"/>
      <c r="K85" s="675"/>
      <c r="L85" s="652"/>
      <c r="M85" s="652"/>
      <c r="N85" s="652"/>
      <c r="O85" s="652"/>
      <c r="Q85" s="675"/>
    </row>
    <row r="86" spans="2:17" ht="15.75" thickBot="1">
      <c r="B86" s="330"/>
      <c r="C86" s="396"/>
      <c r="D86" s="569"/>
      <c r="E86" s="546"/>
      <c r="F86" s="546"/>
      <c r="G86" s="546"/>
      <c r="H86" s="546"/>
      <c r="I86" s="652"/>
      <c r="J86" s="652"/>
      <c r="K86" s="675"/>
      <c r="L86" s="652"/>
      <c r="M86" s="652"/>
      <c r="N86" s="652"/>
      <c r="O86" s="652"/>
      <c r="Q86" s="675"/>
    </row>
    <row r="87" spans="2:17" ht="15.75">
      <c r="B87" s="330"/>
      <c r="C87" s="602" t="s">
        <v>294</v>
      </c>
      <c r="D87" s="569"/>
      <c r="E87" s="546"/>
      <c r="F87" s="546"/>
      <c r="G87" s="546"/>
      <c r="H87" s="851"/>
      <c r="I87" s="546" t="s">
        <v>273</v>
      </c>
      <c r="J87" s="546"/>
      <c r="K87" s="594"/>
      <c r="L87" s="773">
        <f>+J93</f>
        <v>2017</v>
      </c>
      <c r="M87" s="755" t="s">
        <v>256</v>
      </c>
      <c r="N87" s="755" t="s">
        <v>257</v>
      </c>
      <c r="O87" s="756" t="s">
        <v>258</v>
      </c>
      <c r="Q87" s="594"/>
    </row>
    <row r="88" spans="2:17" ht="15.75">
      <c r="B88" s="330"/>
      <c r="C88" s="602"/>
      <c r="D88" s="569"/>
      <c r="E88" s="546"/>
      <c r="F88" s="546"/>
      <c r="H88" s="546"/>
      <c r="I88" s="688"/>
      <c r="J88" s="688"/>
      <c r="K88" s="689"/>
      <c r="L88" s="774" t="s">
        <v>457</v>
      </c>
      <c r="M88" s="775">
        <f>VLOOKUP(J93,C100:P159,10)</f>
        <v>1132871</v>
      </c>
      <c r="N88" s="775">
        <f>VLOOKUP(J93,C100:P159,12)</f>
        <v>1132871</v>
      </c>
      <c r="O88" s="776">
        <f>+N88-M88</f>
        <v>0</v>
      </c>
      <c r="Q88" s="689"/>
    </row>
    <row r="89" spans="2:17" ht="12.75">
      <c r="B89" s="330"/>
      <c r="C89" s="693" t="s">
        <v>295</v>
      </c>
      <c r="D89" s="1527" t="s">
        <v>968</v>
      </c>
      <c r="E89" s="1528"/>
      <c r="F89" s="1528"/>
      <c r="G89" s="1528"/>
      <c r="H89" s="1528"/>
      <c r="I89" s="1528"/>
      <c r="J89" s="652"/>
      <c r="K89" s="675"/>
      <c r="L89" s="774" t="s">
        <v>458</v>
      </c>
      <c r="M89" s="777">
        <f>VLOOKUP(J93,C100:P159,6)</f>
        <v>1066799.9050645605</v>
      </c>
      <c r="N89" s="777">
        <f>VLOOKUP(J93,C100:P159,7)</f>
        <v>1066799.9050645605</v>
      </c>
      <c r="O89" s="778">
        <f>+N89-M89</f>
        <v>0</v>
      </c>
      <c r="Q89" s="675"/>
    </row>
    <row r="90" spans="2:17" ht="13.5" thickBot="1">
      <c r="B90" s="330"/>
      <c r="C90" s="697"/>
      <c r="D90" s="1528"/>
      <c r="E90" s="1528"/>
      <c r="F90" s="1528"/>
      <c r="G90" s="1528"/>
      <c r="H90" s="1528"/>
      <c r="I90" s="1528"/>
      <c r="J90" s="652"/>
      <c r="K90" s="675"/>
      <c r="L90" s="718" t="s">
        <v>459</v>
      </c>
      <c r="M90" s="779">
        <f>+M89-M88</f>
        <v>-66071.09493543953</v>
      </c>
      <c r="N90" s="779">
        <f>+N89-N88</f>
        <v>-66071.09493543953</v>
      </c>
      <c r="O90" s="780">
        <f>+O89-O88</f>
        <v>0</v>
      </c>
      <c r="Q90" s="675"/>
    </row>
    <row r="91" spans="2:17" ht="13.5" thickBot="1">
      <c r="B91" s="330"/>
      <c r="C91" s="700"/>
      <c r="D91" s="701"/>
      <c r="E91" s="699"/>
      <c r="F91" s="699"/>
      <c r="G91" s="699"/>
      <c r="H91" s="699"/>
      <c r="I91" s="699"/>
      <c r="J91" s="699"/>
      <c r="K91" s="702"/>
      <c r="L91" s="699"/>
      <c r="M91" s="699"/>
      <c r="N91" s="699"/>
      <c r="O91" s="699"/>
      <c r="P91" s="582"/>
      <c r="Q91" s="702"/>
    </row>
    <row r="92" spans="2:17" ht="13.5" thickBot="1">
      <c r="B92" s="330"/>
      <c r="C92" s="704" t="s">
        <v>296</v>
      </c>
      <c r="D92" s="705"/>
      <c r="E92" s="705"/>
      <c r="F92" s="705"/>
      <c r="G92" s="705"/>
      <c r="H92" s="705"/>
      <c r="I92" s="705"/>
      <c r="J92" s="705"/>
      <c r="K92" s="707"/>
      <c r="P92" s="708"/>
      <c r="Q92" s="707"/>
    </row>
    <row r="93" spans="1:17" ht="15">
      <c r="A93" s="703"/>
      <c r="B93" s="330"/>
      <c r="C93" s="710" t="s">
        <v>274</v>
      </c>
      <c r="D93" s="1425">
        <v>8327151</v>
      </c>
      <c r="E93" s="661" t="s">
        <v>275</v>
      </c>
      <c r="H93" s="711"/>
      <c r="I93" s="711"/>
      <c r="J93" s="712">
        <v>2017</v>
      </c>
      <c r="K93" s="592"/>
      <c r="L93" s="1515" t="s">
        <v>276</v>
      </c>
      <c r="M93" s="1515"/>
      <c r="N93" s="1515"/>
      <c r="O93" s="1515"/>
      <c r="P93" s="594"/>
      <c r="Q93" s="592"/>
    </row>
    <row r="94" spans="1:17" ht="12.75">
      <c r="A94" s="703"/>
      <c r="B94" s="330"/>
      <c r="C94" s="710" t="s">
        <v>277</v>
      </c>
      <c r="D94" s="1426">
        <v>2009</v>
      </c>
      <c r="E94" s="710" t="s">
        <v>278</v>
      </c>
      <c r="F94" s="711"/>
      <c r="G94" s="711"/>
      <c r="I94" s="330"/>
      <c r="J94" s="856">
        <v>0</v>
      </c>
      <c r="K94" s="713"/>
      <c r="L94" s="675" t="s">
        <v>477</v>
      </c>
      <c r="P94" s="594"/>
      <c r="Q94" s="713"/>
    </row>
    <row r="95" spans="1:17" ht="12.75">
      <c r="A95" s="703"/>
      <c r="B95" s="330"/>
      <c r="C95" s="710" t="s">
        <v>279</v>
      </c>
      <c r="D95" s="1427">
        <v>6</v>
      </c>
      <c r="E95" s="710" t="s">
        <v>280</v>
      </c>
      <c r="F95" s="711"/>
      <c r="G95" s="711"/>
      <c r="I95" s="330"/>
      <c r="J95" s="714">
        <f>$F$68</f>
        <v>0.12860879667906705</v>
      </c>
      <c r="K95" s="715"/>
      <c r="L95" s="546" t="str">
        <f>"          INPUT TRUE-UP ARR (WITH &amp; WITHOUT INCENTIVES) FROM EACH PRIOR YEAR"</f>
        <v>          INPUT TRUE-UP ARR (WITH &amp; WITHOUT INCENTIVES) FROM EACH PRIOR YEAR</v>
      </c>
      <c r="P95" s="594"/>
      <c r="Q95" s="715"/>
    </row>
    <row r="96" spans="1:17" ht="12.75">
      <c r="A96" s="703"/>
      <c r="B96" s="330"/>
      <c r="C96" s="710" t="s">
        <v>281</v>
      </c>
      <c r="D96" s="716">
        <f>H77</f>
        <v>58</v>
      </c>
      <c r="E96" s="710" t="s">
        <v>282</v>
      </c>
      <c r="F96" s="711"/>
      <c r="G96" s="711"/>
      <c r="I96" s="330"/>
      <c r="J96" s="714">
        <f>IF(H87="",J95,$F$67)</f>
        <v>0.12860879667906705</v>
      </c>
      <c r="K96" s="717"/>
      <c r="L96" s="546" t="s">
        <v>364</v>
      </c>
      <c r="M96" s="717"/>
      <c r="N96" s="717"/>
      <c r="O96" s="717"/>
      <c r="P96" s="594"/>
      <c r="Q96" s="717"/>
    </row>
    <row r="97" spans="1:17" ht="13.5" thickBot="1">
      <c r="A97" s="703"/>
      <c r="B97" s="330"/>
      <c r="C97" s="710" t="s">
        <v>283</v>
      </c>
      <c r="D97" s="855" t="s">
        <v>879</v>
      </c>
      <c r="E97" s="718" t="s">
        <v>284</v>
      </c>
      <c r="F97" s="719"/>
      <c r="G97" s="719"/>
      <c r="H97" s="720"/>
      <c r="I97" s="720"/>
      <c r="J97" s="696">
        <f>IF(D93=0,0,D93/D96)</f>
        <v>143571.56896551725</v>
      </c>
      <c r="K97" s="675"/>
      <c r="L97" s="675" t="s">
        <v>365</v>
      </c>
      <c r="M97" s="675"/>
      <c r="N97" s="675"/>
      <c r="O97" s="675"/>
      <c r="P97" s="594"/>
      <c r="Q97" s="675"/>
    </row>
    <row r="98" spans="1:17" ht="38.25">
      <c r="A98" s="531"/>
      <c r="B98" s="531"/>
      <c r="C98" s="721" t="s">
        <v>274</v>
      </c>
      <c r="D98" s="722" t="s">
        <v>285</v>
      </c>
      <c r="E98" s="723" t="s">
        <v>286</v>
      </c>
      <c r="F98" s="722" t="s">
        <v>287</v>
      </c>
      <c r="G98" s="722" t="s">
        <v>460</v>
      </c>
      <c r="H98" s="723" t="s">
        <v>358</v>
      </c>
      <c r="I98" s="724" t="s">
        <v>358</v>
      </c>
      <c r="J98" s="721" t="s">
        <v>297</v>
      </c>
      <c r="K98" s="725"/>
      <c r="L98" s="723" t="s">
        <v>360</v>
      </c>
      <c r="M98" s="723" t="s">
        <v>366</v>
      </c>
      <c r="N98" s="723" t="s">
        <v>360</v>
      </c>
      <c r="O98" s="723" t="s">
        <v>368</v>
      </c>
      <c r="P98" s="723" t="s">
        <v>288</v>
      </c>
      <c r="Q98" s="727"/>
    </row>
    <row r="99" spans="2:17" ht="13.5" thickBot="1">
      <c r="B99" s="330"/>
      <c r="C99" s="728" t="s">
        <v>179</v>
      </c>
      <c r="D99" s="729" t="s">
        <v>180</v>
      </c>
      <c r="E99" s="728" t="s">
        <v>38</v>
      </c>
      <c r="F99" s="729" t="s">
        <v>180</v>
      </c>
      <c r="G99" s="729" t="s">
        <v>180</v>
      </c>
      <c r="H99" s="730" t="s">
        <v>300</v>
      </c>
      <c r="I99" s="731" t="s">
        <v>302</v>
      </c>
      <c r="J99" s="732" t="s">
        <v>391</v>
      </c>
      <c r="K99" s="733"/>
      <c r="L99" s="730" t="s">
        <v>289</v>
      </c>
      <c r="M99" s="730" t="s">
        <v>289</v>
      </c>
      <c r="N99" s="730" t="s">
        <v>469</v>
      </c>
      <c r="O99" s="730" t="s">
        <v>469</v>
      </c>
      <c r="P99" s="730" t="s">
        <v>469</v>
      </c>
      <c r="Q99" s="592"/>
    </row>
    <row r="100" spans="2:17" ht="12.75">
      <c r="B100" s="330"/>
      <c r="C100" s="735">
        <f>IF(D94="","-",D94)</f>
        <v>2009</v>
      </c>
      <c r="D100" s="679">
        <f>+D93</f>
        <v>8327151</v>
      </c>
      <c r="E100" s="736">
        <f>+J97/12*(12-D95)</f>
        <v>71785.78448275862</v>
      </c>
      <c r="F100" s="781">
        <f aca="true" t="shared" si="0" ref="F100:F131">+D100-E100</f>
        <v>8255365.2155172415</v>
      </c>
      <c r="G100" s="679">
        <f aca="true" t="shared" si="1" ref="G100:G131">+(D100+F100)/2</f>
        <v>8291258.107758621</v>
      </c>
      <c r="H100" s="737">
        <f>+J95*G100+E100</f>
        <v>1138114.5126771533</v>
      </c>
      <c r="I100" s="738">
        <f>+J96*G100+E100</f>
        <v>1138114.5126771533</v>
      </c>
      <c r="J100" s="739">
        <f aca="true" t="shared" si="2" ref="J100:J131">+I100-H100</f>
        <v>0</v>
      </c>
      <c r="K100" s="739"/>
      <c r="L100" s="1255">
        <v>0</v>
      </c>
      <c r="M100" s="782">
        <f aca="true" t="shared" si="3" ref="M100:M131">IF(L100&lt;&gt;0,+H100-L100,0)</f>
        <v>0</v>
      </c>
      <c r="N100" s="1255" t="s">
        <v>969</v>
      </c>
      <c r="O100" s="782" t="e">
        <f aca="true" t="shared" si="4" ref="O100:O131">IF(N100&lt;&gt;0,+I100-N100,0)</f>
        <v>#VALUE!</v>
      </c>
      <c r="P100" s="782" t="e">
        <f aca="true" t="shared" si="5" ref="P100:P131">+O100-M100</f>
        <v>#VALUE!</v>
      </c>
      <c r="Q100" s="680"/>
    </row>
    <row r="101" spans="2:17" ht="12.75">
      <c r="B101" s="330"/>
      <c r="C101" s="735">
        <f>IF(D94="","-",+C100+1)</f>
        <v>2010</v>
      </c>
      <c r="D101" s="679">
        <f aca="true" t="shared" si="6" ref="D101:D132">F100</f>
        <v>8255365.2155172415</v>
      </c>
      <c r="E101" s="741">
        <f aca="true" t="shared" si="7" ref="E101:E132">IF(D101&gt;$J$97,$J$97,D101)</f>
        <v>143571.56896551725</v>
      </c>
      <c r="F101" s="741">
        <f t="shared" si="0"/>
        <v>8111793.6465517245</v>
      </c>
      <c r="G101" s="679">
        <f t="shared" si="1"/>
        <v>8183579.431034483</v>
      </c>
      <c r="H101" s="736">
        <f>+J95*G101+E101</f>
        <v>1196051.8721184263</v>
      </c>
      <c r="I101" s="742">
        <f>+J96*G101+E101</f>
        <v>1196051.8721184263</v>
      </c>
      <c r="J101" s="739">
        <f t="shared" si="2"/>
        <v>0</v>
      </c>
      <c r="K101" s="739"/>
      <c r="L101" s="1256">
        <v>1408114.478927289</v>
      </c>
      <c r="M101" s="739">
        <f t="shared" si="3"/>
        <v>-212062.60680886265</v>
      </c>
      <c r="N101" s="1256">
        <v>1408114</v>
      </c>
      <c r="O101" s="739">
        <f t="shared" si="4"/>
        <v>-212062.12788157375</v>
      </c>
      <c r="P101" s="739">
        <f t="shared" si="5"/>
        <v>0.47892728890292346</v>
      </c>
      <c r="Q101" s="680"/>
    </row>
    <row r="102" spans="2:17" ht="12.75">
      <c r="B102" s="330"/>
      <c r="C102" s="735">
        <f>IF(D94="","-",+C101+1)</f>
        <v>2011</v>
      </c>
      <c r="D102" s="679">
        <f t="shared" si="6"/>
        <v>8111793.6465517245</v>
      </c>
      <c r="E102" s="741">
        <f t="shared" si="7"/>
        <v>143571.56896551725</v>
      </c>
      <c r="F102" s="741">
        <f t="shared" si="0"/>
        <v>7968222.077586208</v>
      </c>
      <c r="G102" s="679">
        <f t="shared" si="1"/>
        <v>8040007.862068966</v>
      </c>
      <c r="H102" s="736">
        <f>+J95*G102+E102</f>
        <v>1177587.3053964456</v>
      </c>
      <c r="I102" s="742">
        <f>+J96*G102+E102</f>
        <v>1177587.3053964456</v>
      </c>
      <c r="J102" s="739">
        <f t="shared" si="2"/>
        <v>0</v>
      </c>
      <c r="K102" s="739"/>
      <c r="L102" s="1256">
        <v>1487355</v>
      </c>
      <c r="M102" s="739">
        <f t="shared" si="3"/>
        <v>-309767.69460355444</v>
      </c>
      <c r="N102" s="1256">
        <v>1487355</v>
      </c>
      <c r="O102" s="739">
        <f t="shared" si="4"/>
        <v>-309767.69460355444</v>
      </c>
      <c r="P102" s="739">
        <f t="shared" si="5"/>
        <v>0</v>
      </c>
      <c r="Q102" s="680"/>
    </row>
    <row r="103" spans="2:17" ht="12.75">
      <c r="B103" s="330"/>
      <c r="C103" s="735">
        <f>IF(D94="","-",+C102+1)</f>
        <v>2012</v>
      </c>
      <c r="D103" s="679">
        <f t="shared" si="6"/>
        <v>7968222.077586208</v>
      </c>
      <c r="E103" s="741">
        <f t="shared" si="7"/>
        <v>143571.56896551725</v>
      </c>
      <c r="F103" s="741">
        <f t="shared" si="0"/>
        <v>7824650.508620691</v>
      </c>
      <c r="G103" s="679">
        <f t="shared" si="1"/>
        <v>7896436.293103449</v>
      </c>
      <c r="H103" s="736">
        <f>+J95*G103+E103</f>
        <v>1159122.7386744646</v>
      </c>
      <c r="I103" s="742">
        <f>+J96*G103+E103</f>
        <v>1159122.7386744646</v>
      </c>
      <c r="J103" s="739">
        <f t="shared" si="2"/>
        <v>0</v>
      </c>
      <c r="K103" s="739"/>
      <c r="L103" s="1256">
        <v>1319695.23525551</v>
      </c>
      <c r="M103" s="739">
        <f t="shared" si="3"/>
        <v>-160572.49658104545</v>
      </c>
      <c r="N103" s="1256">
        <v>1319695</v>
      </c>
      <c r="O103" s="739">
        <f t="shared" si="4"/>
        <v>-160572.26132553536</v>
      </c>
      <c r="P103" s="739">
        <f t="shared" si="5"/>
        <v>0.23525551008060575</v>
      </c>
      <c r="Q103" s="680"/>
    </row>
    <row r="104" spans="2:17" ht="12.75">
      <c r="B104" s="330"/>
      <c r="C104" s="735">
        <f>IF(D94="","-",+C103+1)</f>
        <v>2013</v>
      </c>
      <c r="D104" s="679">
        <f t="shared" si="6"/>
        <v>7824650.508620691</v>
      </c>
      <c r="E104" s="741">
        <f t="shared" si="7"/>
        <v>143571.56896551725</v>
      </c>
      <c r="F104" s="741">
        <f t="shared" si="0"/>
        <v>7681078.939655174</v>
      </c>
      <c r="G104" s="679">
        <f t="shared" si="1"/>
        <v>7752864.724137932</v>
      </c>
      <c r="H104" s="736">
        <f>+J95*G104+E104</f>
        <v>1140658.171952484</v>
      </c>
      <c r="I104" s="742">
        <f>+J96*G104+E104</f>
        <v>1140658.171952484</v>
      </c>
      <c r="J104" s="739">
        <f t="shared" si="2"/>
        <v>0</v>
      </c>
      <c r="K104" s="739"/>
      <c r="L104" s="1256">
        <v>1272484</v>
      </c>
      <c r="M104" s="739">
        <f t="shared" si="3"/>
        <v>-131825.82804751606</v>
      </c>
      <c r="N104" s="1256">
        <v>1272484</v>
      </c>
      <c r="O104" s="739">
        <f t="shared" si="4"/>
        <v>-131825.82804751606</v>
      </c>
      <c r="P104" s="739">
        <f t="shared" si="5"/>
        <v>0</v>
      </c>
      <c r="Q104" s="680"/>
    </row>
    <row r="105" spans="2:17" ht="12.75">
      <c r="B105" s="330"/>
      <c r="C105" s="735">
        <f>IF(D94="","-",+C104+1)</f>
        <v>2014</v>
      </c>
      <c r="D105" s="679">
        <f t="shared" si="6"/>
        <v>7681078.939655174</v>
      </c>
      <c r="E105" s="741">
        <f t="shared" si="7"/>
        <v>143571.56896551725</v>
      </c>
      <c r="F105" s="741">
        <f t="shared" si="0"/>
        <v>7537507.370689657</v>
      </c>
      <c r="G105" s="679">
        <f t="shared" si="1"/>
        <v>7609293.155172415</v>
      </c>
      <c r="H105" s="736">
        <f>+J95*G105+E105</f>
        <v>1122193.605230503</v>
      </c>
      <c r="I105" s="742">
        <f>+J96*G105+E105</f>
        <v>1122193.605230503</v>
      </c>
      <c r="J105" s="739">
        <f t="shared" si="2"/>
        <v>0</v>
      </c>
      <c r="K105" s="739"/>
      <c r="L105" s="1256">
        <v>1249385</v>
      </c>
      <c r="M105" s="739">
        <f t="shared" si="3"/>
        <v>-127191.39476949698</v>
      </c>
      <c r="N105" s="1256">
        <v>1249385</v>
      </c>
      <c r="O105" s="739">
        <f t="shared" si="4"/>
        <v>-127191.39476949698</v>
      </c>
      <c r="P105" s="739">
        <f t="shared" si="5"/>
        <v>0</v>
      </c>
      <c r="Q105" s="680"/>
    </row>
    <row r="106" spans="2:17" ht="12.75">
      <c r="B106" s="330"/>
      <c r="C106" s="735">
        <f>IF(D94="","-",+C105+1)</f>
        <v>2015</v>
      </c>
      <c r="D106" s="679">
        <f t="shared" si="6"/>
        <v>7537507.370689657</v>
      </c>
      <c r="E106" s="741">
        <f t="shared" si="7"/>
        <v>143571.56896551725</v>
      </c>
      <c r="F106" s="741">
        <f t="shared" si="0"/>
        <v>7393935.80172414</v>
      </c>
      <c r="G106" s="679">
        <f t="shared" si="1"/>
        <v>7465721.586206898</v>
      </c>
      <c r="H106" s="736">
        <f>+J95*G106+E106</f>
        <v>1103729.038508522</v>
      </c>
      <c r="I106" s="742">
        <f>+J96*G106+E106</f>
        <v>1103729.038508522</v>
      </c>
      <c r="J106" s="739">
        <f t="shared" si="2"/>
        <v>0</v>
      </c>
      <c r="K106" s="739"/>
      <c r="L106" s="1256">
        <v>1278273</v>
      </c>
      <c r="M106" s="739">
        <f t="shared" si="3"/>
        <v>-174543.9614914779</v>
      </c>
      <c r="N106" s="1256">
        <v>1278273</v>
      </c>
      <c r="O106" s="739">
        <f t="shared" si="4"/>
        <v>-174543.9614914779</v>
      </c>
      <c r="P106" s="739">
        <f t="shared" si="5"/>
        <v>0</v>
      </c>
      <c r="Q106" s="680"/>
    </row>
    <row r="107" spans="2:17" ht="12.75">
      <c r="B107" s="330"/>
      <c r="C107" s="735">
        <f>IF(D94="","-",+C106+1)</f>
        <v>2016</v>
      </c>
      <c r="D107" s="679">
        <f t="shared" si="6"/>
        <v>7393935.80172414</v>
      </c>
      <c r="E107" s="741">
        <f t="shared" si="7"/>
        <v>143571.56896551725</v>
      </c>
      <c r="F107" s="741">
        <f t="shared" si="0"/>
        <v>7250364.232758623</v>
      </c>
      <c r="G107" s="679">
        <f t="shared" si="1"/>
        <v>7322150.017241381</v>
      </c>
      <c r="H107" s="736">
        <f>+J95*G107+E107</f>
        <v>1085264.4717865414</v>
      </c>
      <c r="I107" s="742">
        <f>+J96*G107+E107</f>
        <v>1085264.4717865414</v>
      </c>
      <c r="J107" s="739">
        <f t="shared" si="2"/>
        <v>0</v>
      </c>
      <c r="K107" s="739"/>
      <c r="L107" s="1256">
        <v>1254654</v>
      </c>
      <c r="M107" s="739">
        <f t="shared" si="3"/>
        <v>-169389.5282134586</v>
      </c>
      <c r="N107" s="1256">
        <v>1254654</v>
      </c>
      <c r="O107" s="739">
        <f t="shared" si="4"/>
        <v>-169389.5282134586</v>
      </c>
      <c r="P107" s="739">
        <f t="shared" si="5"/>
        <v>0</v>
      </c>
      <c r="Q107" s="680"/>
    </row>
    <row r="108" spans="2:17" ht="12.75">
      <c r="B108" s="330"/>
      <c r="C108" s="1229">
        <f>IF(D94="","-",+C107+1)</f>
        <v>2017</v>
      </c>
      <c r="D108" s="679">
        <f t="shared" si="6"/>
        <v>7250364.232758623</v>
      </c>
      <c r="E108" s="741">
        <f t="shared" si="7"/>
        <v>143571.56896551725</v>
      </c>
      <c r="F108" s="741">
        <f t="shared" si="0"/>
        <v>7106792.663793106</v>
      </c>
      <c r="G108" s="679">
        <f t="shared" si="1"/>
        <v>7178578.448275864</v>
      </c>
      <c r="H108" s="736">
        <f>+J95*G108+E108</f>
        <v>1066799.9050645605</v>
      </c>
      <c r="I108" s="742">
        <f>+J96*G108+E108</f>
        <v>1066799.9050645605</v>
      </c>
      <c r="J108" s="739">
        <f t="shared" si="2"/>
        <v>0</v>
      </c>
      <c r="K108" s="739"/>
      <c r="L108" s="1256">
        <v>1132871</v>
      </c>
      <c r="M108" s="739">
        <f t="shared" si="3"/>
        <v>-66071.09493543953</v>
      </c>
      <c r="N108" s="1256">
        <v>1132871</v>
      </c>
      <c r="O108" s="739">
        <f t="shared" si="4"/>
        <v>-66071.09493543953</v>
      </c>
      <c r="P108" s="739">
        <f t="shared" si="5"/>
        <v>0</v>
      </c>
      <c r="Q108" s="680"/>
    </row>
    <row r="109" spans="2:17" ht="12.75">
      <c r="B109" s="330"/>
      <c r="C109" s="1258">
        <f>IF(D94="","-",+C108+1)</f>
        <v>2018</v>
      </c>
      <c r="D109" s="679">
        <f t="shared" si="6"/>
        <v>7106792.663793106</v>
      </c>
      <c r="E109" s="741">
        <f t="shared" si="7"/>
        <v>143571.56896551725</v>
      </c>
      <c r="F109" s="741">
        <f t="shared" si="0"/>
        <v>6963221.094827589</v>
      </c>
      <c r="G109" s="679">
        <f t="shared" si="1"/>
        <v>7035006.879310347</v>
      </c>
      <c r="H109" s="736">
        <f>+J95*G109+E109</f>
        <v>1048335.3383425797</v>
      </c>
      <c r="I109" s="742">
        <f>+J96*G109+E109</f>
        <v>1048335.3383425797</v>
      </c>
      <c r="J109" s="739">
        <f t="shared" si="2"/>
        <v>0</v>
      </c>
      <c r="K109" s="739"/>
      <c r="L109" s="1256"/>
      <c r="M109" s="739">
        <f t="shared" si="3"/>
        <v>0</v>
      </c>
      <c r="N109" s="1256"/>
      <c r="O109" s="739">
        <f t="shared" si="4"/>
        <v>0</v>
      </c>
      <c r="P109" s="739">
        <f t="shared" si="5"/>
        <v>0</v>
      </c>
      <c r="Q109" s="680"/>
    </row>
    <row r="110" spans="2:17" ht="12.75">
      <c r="B110" s="330"/>
      <c r="C110" s="735">
        <f>IF(D94="","-",+C109+1)</f>
        <v>2019</v>
      </c>
      <c r="D110" s="679">
        <f t="shared" si="6"/>
        <v>6963221.094827589</v>
      </c>
      <c r="E110" s="741">
        <f t="shared" si="7"/>
        <v>143571.56896551725</v>
      </c>
      <c r="F110" s="741">
        <f t="shared" si="0"/>
        <v>6819649.525862072</v>
      </c>
      <c r="G110" s="679">
        <f t="shared" si="1"/>
        <v>6891435.31034483</v>
      </c>
      <c r="H110" s="736">
        <f>+J95*G110+E110</f>
        <v>1029870.7716205989</v>
      </c>
      <c r="I110" s="742">
        <f>+J96*G110+E110</f>
        <v>1029870.7716205989</v>
      </c>
      <c r="J110" s="739">
        <f t="shared" si="2"/>
        <v>0</v>
      </c>
      <c r="K110" s="739"/>
      <c r="L110" s="743"/>
      <c r="M110" s="739">
        <f t="shared" si="3"/>
        <v>0</v>
      </c>
      <c r="N110" s="743"/>
      <c r="O110" s="739">
        <f t="shared" si="4"/>
        <v>0</v>
      </c>
      <c r="P110" s="739">
        <f t="shared" si="5"/>
        <v>0</v>
      </c>
      <c r="Q110" s="680"/>
    </row>
    <row r="111" spans="2:17" ht="12.75">
      <c r="B111" s="330"/>
      <c r="C111" s="735">
        <f>IF(D94="","-",+C110+1)</f>
        <v>2020</v>
      </c>
      <c r="D111" s="679">
        <f t="shared" si="6"/>
        <v>6819649.525862072</v>
      </c>
      <c r="E111" s="741">
        <f t="shared" si="7"/>
        <v>143571.56896551725</v>
      </c>
      <c r="F111" s="741">
        <f t="shared" si="0"/>
        <v>6676077.956896555</v>
      </c>
      <c r="G111" s="679">
        <f t="shared" si="1"/>
        <v>6747863.741379313</v>
      </c>
      <c r="H111" s="736">
        <f>+J95*G111+E111</f>
        <v>1011406.204898618</v>
      </c>
      <c r="I111" s="742">
        <f>+J96*G111+E111</f>
        <v>1011406.204898618</v>
      </c>
      <c r="J111" s="739">
        <f t="shared" si="2"/>
        <v>0</v>
      </c>
      <c r="K111" s="739"/>
      <c r="L111" s="743"/>
      <c r="M111" s="739">
        <f t="shared" si="3"/>
        <v>0</v>
      </c>
      <c r="N111" s="743"/>
      <c r="O111" s="739">
        <f t="shared" si="4"/>
        <v>0</v>
      </c>
      <c r="P111" s="739">
        <f t="shared" si="5"/>
        <v>0</v>
      </c>
      <c r="Q111" s="680"/>
    </row>
    <row r="112" spans="2:17" ht="12.75">
      <c r="B112" s="330"/>
      <c r="C112" s="735">
        <f>IF(D94="","-",+C111+1)</f>
        <v>2021</v>
      </c>
      <c r="D112" s="679">
        <f t="shared" si="6"/>
        <v>6676077.956896555</v>
      </c>
      <c r="E112" s="741">
        <f t="shared" si="7"/>
        <v>143571.56896551725</v>
      </c>
      <c r="F112" s="741">
        <f t="shared" si="0"/>
        <v>6532506.387931038</v>
      </c>
      <c r="G112" s="679">
        <f t="shared" si="1"/>
        <v>6604292.172413796</v>
      </c>
      <c r="H112" s="736">
        <f>+J95*G112+E112</f>
        <v>992941.6381766371</v>
      </c>
      <c r="I112" s="742">
        <f>+J96*G112+E112</f>
        <v>992941.6381766371</v>
      </c>
      <c r="J112" s="739">
        <f t="shared" si="2"/>
        <v>0</v>
      </c>
      <c r="K112" s="739"/>
      <c r="L112" s="743"/>
      <c r="M112" s="739">
        <f t="shared" si="3"/>
        <v>0</v>
      </c>
      <c r="N112" s="743"/>
      <c r="O112" s="739">
        <f t="shared" si="4"/>
        <v>0</v>
      </c>
      <c r="P112" s="739">
        <f t="shared" si="5"/>
        <v>0</v>
      </c>
      <c r="Q112" s="680"/>
    </row>
    <row r="113" spans="2:17" ht="12.75">
      <c r="B113" s="330"/>
      <c r="C113" s="735">
        <f>IF(D94="","-",+C112+1)</f>
        <v>2022</v>
      </c>
      <c r="D113" s="679">
        <f t="shared" si="6"/>
        <v>6532506.387931038</v>
      </c>
      <c r="E113" s="741">
        <f t="shared" si="7"/>
        <v>143571.56896551725</v>
      </c>
      <c r="F113" s="741">
        <f t="shared" si="0"/>
        <v>6388934.818965521</v>
      </c>
      <c r="G113" s="679">
        <f t="shared" si="1"/>
        <v>6460720.603448279</v>
      </c>
      <c r="H113" s="736">
        <f>+J95*G113+E113</f>
        <v>974477.0714546563</v>
      </c>
      <c r="I113" s="742">
        <f>+J96*G113+E113</f>
        <v>974477.0714546563</v>
      </c>
      <c r="J113" s="739">
        <f t="shared" si="2"/>
        <v>0</v>
      </c>
      <c r="K113" s="739"/>
      <c r="L113" s="743"/>
      <c r="M113" s="739">
        <f t="shared" si="3"/>
        <v>0</v>
      </c>
      <c r="N113" s="743"/>
      <c r="O113" s="739">
        <f t="shared" si="4"/>
        <v>0</v>
      </c>
      <c r="P113" s="739">
        <f t="shared" si="5"/>
        <v>0</v>
      </c>
      <c r="Q113" s="680"/>
    </row>
    <row r="114" spans="2:17" ht="12.75">
      <c r="B114" s="330"/>
      <c r="C114" s="735">
        <f>IF(D94="","-",+C113+1)</f>
        <v>2023</v>
      </c>
      <c r="D114" s="679">
        <f t="shared" si="6"/>
        <v>6388934.818965521</v>
      </c>
      <c r="E114" s="741">
        <f t="shared" si="7"/>
        <v>143571.56896551725</v>
      </c>
      <c r="F114" s="741">
        <f t="shared" si="0"/>
        <v>6245363.250000004</v>
      </c>
      <c r="G114" s="679">
        <f t="shared" si="1"/>
        <v>6317149.034482762</v>
      </c>
      <c r="H114" s="736">
        <f>+J95*G114+E114</f>
        <v>956012.5047326755</v>
      </c>
      <c r="I114" s="742">
        <f>+J96*G114+E114</f>
        <v>956012.5047326755</v>
      </c>
      <c r="J114" s="739">
        <f t="shared" si="2"/>
        <v>0</v>
      </c>
      <c r="K114" s="739"/>
      <c r="L114" s="743"/>
      <c r="M114" s="739">
        <f t="shared" si="3"/>
        <v>0</v>
      </c>
      <c r="N114" s="743"/>
      <c r="O114" s="739">
        <f t="shared" si="4"/>
        <v>0</v>
      </c>
      <c r="P114" s="739">
        <f t="shared" si="5"/>
        <v>0</v>
      </c>
      <c r="Q114" s="680"/>
    </row>
    <row r="115" spans="2:17" ht="12.75">
      <c r="B115" s="330"/>
      <c r="C115" s="735">
        <f>IF(D94="","-",+C114+1)</f>
        <v>2024</v>
      </c>
      <c r="D115" s="679">
        <f t="shared" si="6"/>
        <v>6245363.250000004</v>
      </c>
      <c r="E115" s="741">
        <f t="shared" si="7"/>
        <v>143571.56896551725</v>
      </c>
      <c r="F115" s="741">
        <f t="shared" si="0"/>
        <v>6101791.681034487</v>
      </c>
      <c r="G115" s="679">
        <f t="shared" si="1"/>
        <v>6173577.465517245</v>
      </c>
      <c r="H115" s="736">
        <f>+J95*G115+E115</f>
        <v>937547.9380106947</v>
      </c>
      <c r="I115" s="742">
        <f>+J96*G115+E115</f>
        <v>937547.9380106947</v>
      </c>
      <c r="J115" s="739">
        <f t="shared" si="2"/>
        <v>0</v>
      </c>
      <c r="K115" s="739"/>
      <c r="L115" s="743"/>
      <c r="M115" s="739">
        <f t="shared" si="3"/>
        <v>0</v>
      </c>
      <c r="N115" s="743"/>
      <c r="O115" s="739">
        <f t="shared" si="4"/>
        <v>0</v>
      </c>
      <c r="P115" s="739">
        <f t="shared" si="5"/>
        <v>0</v>
      </c>
      <c r="Q115" s="680"/>
    </row>
    <row r="116" spans="2:17" ht="12.75">
      <c r="B116" s="330"/>
      <c r="C116" s="735">
        <f>IF(D94="","-",+C115+1)</f>
        <v>2025</v>
      </c>
      <c r="D116" s="679">
        <f t="shared" si="6"/>
        <v>6101791.681034487</v>
      </c>
      <c r="E116" s="741">
        <f t="shared" si="7"/>
        <v>143571.56896551725</v>
      </c>
      <c r="F116" s="741">
        <f t="shared" si="0"/>
        <v>5958220.11206897</v>
      </c>
      <c r="G116" s="679">
        <f t="shared" si="1"/>
        <v>6030005.896551728</v>
      </c>
      <c r="H116" s="736">
        <f>+J95*G116+E116</f>
        <v>919083.3712887139</v>
      </c>
      <c r="I116" s="742">
        <f>+J96*G116+E116</f>
        <v>919083.3712887139</v>
      </c>
      <c r="J116" s="739">
        <f t="shared" si="2"/>
        <v>0</v>
      </c>
      <c r="K116" s="739"/>
      <c r="L116" s="743"/>
      <c r="M116" s="739">
        <f t="shared" si="3"/>
        <v>0</v>
      </c>
      <c r="N116" s="743"/>
      <c r="O116" s="739">
        <f t="shared" si="4"/>
        <v>0</v>
      </c>
      <c r="P116" s="739">
        <f t="shared" si="5"/>
        <v>0</v>
      </c>
      <c r="Q116" s="680"/>
    </row>
    <row r="117" spans="2:17" ht="12.75">
      <c r="B117" s="330"/>
      <c r="C117" s="735">
        <f>IF(D94="","-",+C116+1)</f>
        <v>2026</v>
      </c>
      <c r="D117" s="679">
        <f t="shared" si="6"/>
        <v>5958220.11206897</v>
      </c>
      <c r="E117" s="741">
        <f t="shared" si="7"/>
        <v>143571.56896551725</v>
      </c>
      <c r="F117" s="741">
        <f t="shared" si="0"/>
        <v>5814648.543103453</v>
      </c>
      <c r="G117" s="679">
        <f t="shared" si="1"/>
        <v>5886434.327586211</v>
      </c>
      <c r="H117" s="736">
        <f>+J95*G117+E117</f>
        <v>900618.8045667331</v>
      </c>
      <c r="I117" s="742">
        <f>+J96*G117+E117</f>
        <v>900618.8045667331</v>
      </c>
      <c r="J117" s="739">
        <f t="shared" si="2"/>
        <v>0</v>
      </c>
      <c r="K117" s="739"/>
      <c r="L117" s="743"/>
      <c r="M117" s="739">
        <f t="shared" si="3"/>
        <v>0</v>
      </c>
      <c r="N117" s="743"/>
      <c r="O117" s="739">
        <f t="shared" si="4"/>
        <v>0</v>
      </c>
      <c r="P117" s="739">
        <f t="shared" si="5"/>
        <v>0</v>
      </c>
      <c r="Q117" s="680"/>
    </row>
    <row r="118" spans="2:17" ht="12.75">
      <c r="B118" s="330"/>
      <c r="C118" s="735">
        <f>IF(D94="","-",+C117+1)</f>
        <v>2027</v>
      </c>
      <c r="D118" s="679">
        <f t="shared" si="6"/>
        <v>5814648.543103453</v>
      </c>
      <c r="E118" s="741">
        <f t="shared" si="7"/>
        <v>143571.56896551725</v>
      </c>
      <c r="F118" s="741">
        <f t="shared" si="0"/>
        <v>5671076.974137936</v>
      </c>
      <c r="G118" s="679">
        <f t="shared" si="1"/>
        <v>5742862.758620694</v>
      </c>
      <c r="H118" s="736">
        <f>+J95*G118+E118</f>
        <v>882154.2378447521</v>
      </c>
      <c r="I118" s="742">
        <f>+J96*G118+E118</f>
        <v>882154.2378447521</v>
      </c>
      <c r="J118" s="739">
        <f t="shared" si="2"/>
        <v>0</v>
      </c>
      <c r="K118" s="739"/>
      <c r="L118" s="743"/>
      <c r="M118" s="739">
        <f t="shared" si="3"/>
        <v>0</v>
      </c>
      <c r="N118" s="743"/>
      <c r="O118" s="739">
        <f t="shared" si="4"/>
        <v>0</v>
      </c>
      <c r="P118" s="739">
        <f t="shared" si="5"/>
        <v>0</v>
      </c>
      <c r="Q118" s="680"/>
    </row>
    <row r="119" spans="2:17" ht="12.75">
      <c r="B119" s="330"/>
      <c r="C119" s="735">
        <f>IF(D94="","-",+C118+1)</f>
        <v>2028</v>
      </c>
      <c r="D119" s="679">
        <f t="shared" si="6"/>
        <v>5671076.974137936</v>
      </c>
      <c r="E119" s="741">
        <f t="shared" si="7"/>
        <v>143571.56896551725</v>
      </c>
      <c r="F119" s="741">
        <f t="shared" si="0"/>
        <v>5527505.405172419</v>
      </c>
      <c r="G119" s="679">
        <f t="shared" si="1"/>
        <v>5599291.189655177</v>
      </c>
      <c r="H119" s="736">
        <f>+J95*G119+E119</f>
        <v>863689.6711227713</v>
      </c>
      <c r="I119" s="742">
        <f>+J96*G119+E119</f>
        <v>863689.6711227713</v>
      </c>
      <c r="J119" s="739">
        <f t="shared" si="2"/>
        <v>0</v>
      </c>
      <c r="K119" s="739"/>
      <c r="L119" s="743"/>
      <c r="M119" s="739">
        <f t="shared" si="3"/>
        <v>0</v>
      </c>
      <c r="N119" s="743"/>
      <c r="O119" s="739">
        <f t="shared" si="4"/>
        <v>0</v>
      </c>
      <c r="P119" s="739">
        <f t="shared" si="5"/>
        <v>0</v>
      </c>
      <c r="Q119" s="680"/>
    </row>
    <row r="120" spans="2:17" ht="12.75">
      <c r="B120" s="330"/>
      <c r="C120" s="735">
        <f>IF(D94="","-",+C119+1)</f>
        <v>2029</v>
      </c>
      <c r="D120" s="679">
        <f t="shared" si="6"/>
        <v>5527505.405172419</v>
      </c>
      <c r="E120" s="741">
        <f t="shared" si="7"/>
        <v>143571.56896551725</v>
      </c>
      <c r="F120" s="741">
        <f t="shared" si="0"/>
        <v>5383933.836206902</v>
      </c>
      <c r="G120" s="679">
        <f t="shared" si="1"/>
        <v>5455719.62068966</v>
      </c>
      <c r="H120" s="736">
        <f>+J95*G120+E120</f>
        <v>845225.1044007905</v>
      </c>
      <c r="I120" s="742">
        <f>+J96*G120+E120</f>
        <v>845225.1044007905</v>
      </c>
      <c r="J120" s="739">
        <f t="shared" si="2"/>
        <v>0</v>
      </c>
      <c r="K120" s="739"/>
      <c r="L120" s="743"/>
      <c r="M120" s="739">
        <f t="shared" si="3"/>
        <v>0</v>
      </c>
      <c r="N120" s="743"/>
      <c r="O120" s="739">
        <f t="shared" si="4"/>
        <v>0</v>
      </c>
      <c r="P120" s="739">
        <f t="shared" si="5"/>
        <v>0</v>
      </c>
      <c r="Q120" s="680"/>
    </row>
    <row r="121" spans="2:17" ht="12.75">
      <c r="B121" s="330"/>
      <c r="C121" s="735">
        <f>IF(D94="","-",+C120+1)</f>
        <v>2030</v>
      </c>
      <c r="D121" s="679">
        <f t="shared" si="6"/>
        <v>5383933.836206902</v>
      </c>
      <c r="E121" s="741">
        <f t="shared" si="7"/>
        <v>143571.56896551725</v>
      </c>
      <c r="F121" s="741">
        <f t="shared" si="0"/>
        <v>5240362.267241385</v>
      </c>
      <c r="G121" s="679">
        <f t="shared" si="1"/>
        <v>5312148.051724143</v>
      </c>
      <c r="H121" s="736">
        <f>+J95*G121+E121</f>
        <v>826760.5376788097</v>
      </c>
      <c r="I121" s="742">
        <f>+J96*G121+E121</f>
        <v>826760.5376788097</v>
      </c>
      <c r="J121" s="739">
        <f t="shared" si="2"/>
        <v>0</v>
      </c>
      <c r="K121" s="739"/>
      <c r="L121" s="743"/>
      <c r="M121" s="739">
        <f t="shared" si="3"/>
        <v>0</v>
      </c>
      <c r="N121" s="743"/>
      <c r="O121" s="739">
        <f t="shared" si="4"/>
        <v>0</v>
      </c>
      <c r="P121" s="739">
        <f t="shared" si="5"/>
        <v>0</v>
      </c>
      <c r="Q121" s="680"/>
    </row>
    <row r="122" spans="2:17" ht="12.75">
      <c r="B122" s="330"/>
      <c r="C122" s="735">
        <f>IF(D94="","-",+C121+1)</f>
        <v>2031</v>
      </c>
      <c r="D122" s="679">
        <f t="shared" si="6"/>
        <v>5240362.267241385</v>
      </c>
      <c r="E122" s="741">
        <f t="shared" si="7"/>
        <v>143571.56896551725</v>
      </c>
      <c r="F122" s="741">
        <f t="shared" si="0"/>
        <v>5096790.698275868</v>
      </c>
      <c r="G122" s="679">
        <f t="shared" si="1"/>
        <v>5168576.482758626</v>
      </c>
      <c r="H122" s="736">
        <f>+J95*G122+E122</f>
        <v>808295.9709568289</v>
      </c>
      <c r="I122" s="742">
        <f>+J96*G122+E122</f>
        <v>808295.9709568289</v>
      </c>
      <c r="J122" s="739">
        <f t="shared" si="2"/>
        <v>0</v>
      </c>
      <c r="K122" s="739"/>
      <c r="L122" s="743"/>
      <c r="M122" s="739">
        <f t="shared" si="3"/>
        <v>0</v>
      </c>
      <c r="N122" s="743"/>
      <c r="O122" s="739">
        <f t="shared" si="4"/>
        <v>0</v>
      </c>
      <c r="P122" s="739">
        <f t="shared" si="5"/>
        <v>0</v>
      </c>
      <c r="Q122" s="680"/>
    </row>
    <row r="123" spans="2:17" ht="12.75">
      <c r="B123" s="330"/>
      <c r="C123" s="735">
        <f>IF(D94="","-",+C122+1)</f>
        <v>2032</v>
      </c>
      <c r="D123" s="679">
        <f t="shared" si="6"/>
        <v>5096790.698275868</v>
      </c>
      <c r="E123" s="741">
        <f t="shared" si="7"/>
        <v>143571.56896551725</v>
      </c>
      <c r="F123" s="741">
        <f t="shared" si="0"/>
        <v>4953219.129310351</v>
      </c>
      <c r="G123" s="679">
        <f t="shared" si="1"/>
        <v>5025004.913793109</v>
      </c>
      <c r="H123" s="736">
        <f>+J95*G123+E123</f>
        <v>789831.4042348481</v>
      </c>
      <c r="I123" s="742">
        <f>+J96*G123+E123</f>
        <v>789831.4042348481</v>
      </c>
      <c r="J123" s="739">
        <f t="shared" si="2"/>
        <v>0</v>
      </c>
      <c r="K123" s="739"/>
      <c r="L123" s="743"/>
      <c r="M123" s="739">
        <f t="shared" si="3"/>
        <v>0</v>
      </c>
      <c r="N123" s="743"/>
      <c r="O123" s="739">
        <f t="shared" si="4"/>
        <v>0</v>
      </c>
      <c r="P123" s="739">
        <f t="shared" si="5"/>
        <v>0</v>
      </c>
      <c r="Q123" s="680"/>
    </row>
    <row r="124" spans="2:17" ht="12.75">
      <c r="B124" s="330"/>
      <c r="C124" s="735">
        <f>IF(D94="","-",+C123+1)</f>
        <v>2033</v>
      </c>
      <c r="D124" s="679">
        <f t="shared" si="6"/>
        <v>4953219.129310351</v>
      </c>
      <c r="E124" s="741">
        <f t="shared" si="7"/>
        <v>143571.56896551725</v>
      </c>
      <c r="F124" s="741">
        <f t="shared" si="0"/>
        <v>4809647.560344834</v>
      </c>
      <c r="G124" s="679">
        <f t="shared" si="1"/>
        <v>4881433.344827592</v>
      </c>
      <c r="H124" s="736">
        <f>+J95*G124+E124</f>
        <v>771366.8375128673</v>
      </c>
      <c r="I124" s="742">
        <f>+J96*G124+E124</f>
        <v>771366.8375128673</v>
      </c>
      <c r="J124" s="739">
        <f t="shared" si="2"/>
        <v>0</v>
      </c>
      <c r="K124" s="739"/>
      <c r="L124" s="743"/>
      <c r="M124" s="739">
        <f t="shared" si="3"/>
        <v>0</v>
      </c>
      <c r="N124" s="743"/>
      <c r="O124" s="739">
        <f t="shared" si="4"/>
        <v>0</v>
      </c>
      <c r="P124" s="739">
        <f t="shared" si="5"/>
        <v>0</v>
      </c>
      <c r="Q124" s="680"/>
    </row>
    <row r="125" spans="2:17" ht="12.75">
      <c r="B125" s="330"/>
      <c r="C125" s="735">
        <f>IF(D94="","-",+C124+1)</f>
        <v>2034</v>
      </c>
      <c r="D125" s="679">
        <f t="shared" si="6"/>
        <v>4809647.560344834</v>
      </c>
      <c r="E125" s="741">
        <f t="shared" si="7"/>
        <v>143571.56896551725</v>
      </c>
      <c r="F125" s="741">
        <f t="shared" si="0"/>
        <v>4666075.991379317</v>
      </c>
      <c r="G125" s="679">
        <f t="shared" si="1"/>
        <v>4737861.775862075</v>
      </c>
      <c r="H125" s="736">
        <f>+J95*G125+E125</f>
        <v>752902.2707908864</v>
      </c>
      <c r="I125" s="742">
        <f>+J96*G125+E125</f>
        <v>752902.2707908864</v>
      </c>
      <c r="J125" s="739">
        <f t="shared" si="2"/>
        <v>0</v>
      </c>
      <c r="K125" s="739"/>
      <c r="L125" s="743"/>
      <c r="M125" s="739">
        <f t="shared" si="3"/>
        <v>0</v>
      </c>
      <c r="N125" s="743"/>
      <c r="O125" s="739">
        <f t="shared" si="4"/>
        <v>0</v>
      </c>
      <c r="P125" s="739">
        <f t="shared" si="5"/>
        <v>0</v>
      </c>
      <c r="Q125" s="680"/>
    </row>
    <row r="126" spans="2:17" ht="12.75">
      <c r="B126" s="330"/>
      <c r="C126" s="735">
        <f>IF(D94="","-",+C125+1)</f>
        <v>2035</v>
      </c>
      <c r="D126" s="679">
        <f t="shared" si="6"/>
        <v>4666075.991379317</v>
      </c>
      <c r="E126" s="741">
        <f t="shared" si="7"/>
        <v>143571.56896551725</v>
      </c>
      <c r="F126" s="741">
        <f t="shared" si="0"/>
        <v>4522504.4224138</v>
      </c>
      <c r="G126" s="679">
        <f t="shared" si="1"/>
        <v>4594290.206896558</v>
      </c>
      <c r="H126" s="736">
        <f>+J95*G126+E126</f>
        <v>734437.7040689056</v>
      </c>
      <c r="I126" s="742">
        <f>+J96*G126+E126</f>
        <v>734437.7040689056</v>
      </c>
      <c r="J126" s="739">
        <f t="shared" si="2"/>
        <v>0</v>
      </c>
      <c r="K126" s="739"/>
      <c r="L126" s="743"/>
      <c r="M126" s="739">
        <f t="shared" si="3"/>
        <v>0</v>
      </c>
      <c r="N126" s="743"/>
      <c r="O126" s="739">
        <f t="shared" si="4"/>
        <v>0</v>
      </c>
      <c r="P126" s="739">
        <f t="shared" si="5"/>
        <v>0</v>
      </c>
      <c r="Q126" s="680"/>
    </row>
    <row r="127" spans="2:17" ht="12.75">
      <c r="B127" s="330"/>
      <c r="C127" s="735">
        <f>IF(D94="","-",+C126+1)</f>
        <v>2036</v>
      </c>
      <c r="D127" s="679">
        <f t="shared" si="6"/>
        <v>4522504.4224138</v>
      </c>
      <c r="E127" s="741">
        <f t="shared" si="7"/>
        <v>143571.56896551725</v>
      </c>
      <c r="F127" s="741">
        <f t="shared" si="0"/>
        <v>4378932.853448283</v>
      </c>
      <c r="G127" s="679">
        <f t="shared" si="1"/>
        <v>4450718.637931041</v>
      </c>
      <c r="H127" s="736">
        <f>+J95*G127+E127</f>
        <v>715973.1373469247</v>
      </c>
      <c r="I127" s="742">
        <f>+J96*G127+E127</f>
        <v>715973.1373469247</v>
      </c>
      <c r="J127" s="739">
        <f t="shared" si="2"/>
        <v>0</v>
      </c>
      <c r="K127" s="739"/>
      <c r="L127" s="743"/>
      <c r="M127" s="739">
        <f t="shared" si="3"/>
        <v>0</v>
      </c>
      <c r="N127" s="743"/>
      <c r="O127" s="739">
        <f t="shared" si="4"/>
        <v>0</v>
      </c>
      <c r="P127" s="739">
        <f t="shared" si="5"/>
        <v>0</v>
      </c>
      <c r="Q127" s="680"/>
    </row>
    <row r="128" spans="2:17" ht="12.75">
      <c r="B128" s="330"/>
      <c r="C128" s="735">
        <f>IF(D94="","-",+C127+1)</f>
        <v>2037</v>
      </c>
      <c r="D128" s="679">
        <f t="shared" si="6"/>
        <v>4378932.853448283</v>
      </c>
      <c r="E128" s="741">
        <f t="shared" si="7"/>
        <v>143571.56896551725</v>
      </c>
      <c r="F128" s="741">
        <f t="shared" si="0"/>
        <v>4235361.284482766</v>
      </c>
      <c r="G128" s="679">
        <f t="shared" si="1"/>
        <v>4307147.068965524</v>
      </c>
      <c r="H128" s="736">
        <f>+J95*G128+E128</f>
        <v>697508.5706249439</v>
      </c>
      <c r="I128" s="742">
        <f>+J96*G128+E128</f>
        <v>697508.5706249439</v>
      </c>
      <c r="J128" s="739">
        <f t="shared" si="2"/>
        <v>0</v>
      </c>
      <c r="K128" s="739"/>
      <c r="L128" s="743"/>
      <c r="M128" s="739">
        <f t="shared" si="3"/>
        <v>0</v>
      </c>
      <c r="N128" s="743"/>
      <c r="O128" s="739">
        <f t="shared" si="4"/>
        <v>0</v>
      </c>
      <c r="P128" s="739">
        <f t="shared" si="5"/>
        <v>0</v>
      </c>
      <c r="Q128" s="680"/>
    </row>
    <row r="129" spans="2:17" ht="12.75">
      <c r="B129" s="330"/>
      <c r="C129" s="735">
        <f>IF(D94="","-",+C128+1)</f>
        <v>2038</v>
      </c>
      <c r="D129" s="679">
        <f t="shared" si="6"/>
        <v>4235361.284482766</v>
      </c>
      <c r="E129" s="741">
        <f t="shared" si="7"/>
        <v>143571.56896551725</v>
      </c>
      <c r="F129" s="741">
        <f t="shared" si="0"/>
        <v>4091789.7155172485</v>
      </c>
      <c r="G129" s="679">
        <f t="shared" si="1"/>
        <v>4163575.5000000075</v>
      </c>
      <c r="H129" s="736">
        <f>+J95*G129+E129</f>
        <v>679044.0039029631</v>
      </c>
      <c r="I129" s="742">
        <f>+J96*G129+E129</f>
        <v>679044.0039029631</v>
      </c>
      <c r="J129" s="739">
        <f t="shared" si="2"/>
        <v>0</v>
      </c>
      <c r="K129" s="739"/>
      <c r="L129" s="743"/>
      <c r="M129" s="739">
        <f t="shared" si="3"/>
        <v>0</v>
      </c>
      <c r="N129" s="743"/>
      <c r="O129" s="739">
        <f t="shared" si="4"/>
        <v>0</v>
      </c>
      <c r="P129" s="739">
        <f t="shared" si="5"/>
        <v>0</v>
      </c>
      <c r="Q129" s="680"/>
    </row>
    <row r="130" spans="2:17" ht="12.75">
      <c r="B130" s="330"/>
      <c r="C130" s="735">
        <f>IF(D94="","-",+C129+1)</f>
        <v>2039</v>
      </c>
      <c r="D130" s="679">
        <f t="shared" si="6"/>
        <v>4091789.7155172485</v>
      </c>
      <c r="E130" s="741">
        <f t="shared" si="7"/>
        <v>143571.56896551725</v>
      </c>
      <c r="F130" s="741">
        <f t="shared" si="0"/>
        <v>3948218.146551731</v>
      </c>
      <c r="G130" s="679">
        <f t="shared" si="1"/>
        <v>4020003.9310344895</v>
      </c>
      <c r="H130" s="736">
        <f>+J95*G130+E130</f>
        <v>660579.4371809822</v>
      </c>
      <c r="I130" s="742">
        <f>+J96*G130+E130</f>
        <v>660579.4371809822</v>
      </c>
      <c r="J130" s="739">
        <f t="shared" si="2"/>
        <v>0</v>
      </c>
      <c r="K130" s="739"/>
      <c r="L130" s="743"/>
      <c r="M130" s="739">
        <f t="shared" si="3"/>
        <v>0</v>
      </c>
      <c r="N130" s="743"/>
      <c r="O130" s="739">
        <f t="shared" si="4"/>
        <v>0</v>
      </c>
      <c r="P130" s="739">
        <f t="shared" si="5"/>
        <v>0</v>
      </c>
      <c r="Q130" s="680"/>
    </row>
    <row r="131" spans="2:17" ht="12.75">
      <c r="B131" s="330"/>
      <c r="C131" s="735">
        <f>IF(D94="","-",+C130+1)</f>
        <v>2040</v>
      </c>
      <c r="D131" s="679">
        <f t="shared" si="6"/>
        <v>3948218.146551731</v>
      </c>
      <c r="E131" s="741">
        <f t="shared" si="7"/>
        <v>143571.56896551725</v>
      </c>
      <c r="F131" s="741">
        <f t="shared" si="0"/>
        <v>3804646.5775862136</v>
      </c>
      <c r="G131" s="679">
        <f t="shared" si="1"/>
        <v>3876432.3620689726</v>
      </c>
      <c r="H131" s="736">
        <f>+J95*G131+E131</f>
        <v>642114.8704590014</v>
      </c>
      <c r="I131" s="742">
        <f>+J96*G131+E131</f>
        <v>642114.8704590014</v>
      </c>
      <c r="J131" s="739">
        <f t="shared" si="2"/>
        <v>0</v>
      </c>
      <c r="K131" s="739"/>
      <c r="L131" s="743"/>
      <c r="M131" s="739">
        <f t="shared" si="3"/>
        <v>0</v>
      </c>
      <c r="N131" s="743"/>
      <c r="O131" s="739">
        <f t="shared" si="4"/>
        <v>0</v>
      </c>
      <c r="P131" s="739">
        <f t="shared" si="5"/>
        <v>0</v>
      </c>
      <c r="Q131" s="680"/>
    </row>
    <row r="132" spans="2:17" ht="12.75">
      <c r="B132" s="330"/>
      <c r="C132" s="735">
        <f>IF(D94="","-",+C131+1)</f>
        <v>2041</v>
      </c>
      <c r="D132" s="679">
        <f t="shared" si="6"/>
        <v>3804646.5775862136</v>
      </c>
      <c r="E132" s="741">
        <f t="shared" si="7"/>
        <v>143571.56896551725</v>
      </c>
      <c r="F132" s="741">
        <f aca="true" t="shared" si="8" ref="F132:F159">+D132-E132</f>
        <v>3661075.008620696</v>
      </c>
      <c r="G132" s="679">
        <f aca="true" t="shared" si="9" ref="G132:G159">+(D132+F132)/2</f>
        <v>3732860.7931034546</v>
      </c>
      <c r="H132" s="736">
        <f>+J95*G132+E132</f>
        <v>623650.3037370205</v>
      </c>
      <c r="I132" s="742">
        <f>+J96*G132+E132</f>
        <v>623650.3037370205</v>
      </c>
      <c r="J132" s="739">
        <f aca="true" t="shared" si="10" ref="J132:J159">+I132-H132</f>
        <v>0</v>
      </c>
      <c r="K132" s="739"/>
      <c r="L132" s="743"/>
      <c r="M132" s="739">
        <f aca="true" t="shared" si="11" ref="M132:M159">IF(L132&lt;&gt;0,+H132-L132,0)</f>
        <v>0</v>
      </c>
      <c r="N132" s="743"/>
      <c r="O132" s="739">
        <f aca="true" t="shared" si="12" ref="O132:O159">IF(N132&lt;&gt;0,+I132-N132,0)</f>
        <v>0</v>
      </c>
      <c r="P132" s="739">
        <f aca="true" t="shared" si="13" ref="P132:P159">+O132-M132</f>
        <v>0</v>
      </c>
      <c r="Q132" s="680"/>
    </row>
    <row r="133" spans="2:17" ht="12.75">
      <c r="B133" s="330"/>
      <c r="C133" s="735">
        <f>IF(D94="","-",+C132+1)</f>
        <v>2042</v>
      </c>
      <c r="D133" s="679">
        <f aca="true" t="shared" si="14" ref="D133:D159">F132</f>
        <v>3661075.008620696</v>
      </c>
      <c r="E133" s="741">
        <f aca="true" t="shared" si="15" ref="E133:E159">IF(D133&gt;$J$97,$J$97,D133)</f>
        <v>143571.56896551725</v>
      </c>
      <c r="F133" s="741">
        <f t="shared" si="8"/>
        <v>3517503.4396551787</v>
      </c>
      <c r="G133" s="679">
        <f t="shared" si="9"/>
        <v>3589289.2241379377</v>
      </c>
      <c r="H133" s="736">
        <f>+J95*G133+E133</f>
        <v>605185.7370150395</v>
      </c>
      <c r="I133" s="742">
        <f>+J96*G133+E133</f>
        <v>605185.7370150395</v>
      </c>
      <c r="J133" s="739">
        <f t="shared" si="10"/>
        <v>0</v>
      </c>
      <c r="K133" s="739"/>
      <c r="L133" s="743"/>
      <c r="M133" s="739">
        <f t="shared" si="11"/>
        <v>0</v>
      </c>
      <c r="N133" s="743"/>
      <c r="O133" s="739">
        <f t="shared" si="12"/>
        <v>0</v>
      </c>
      <c r="P133" s="739">
        <f t="shared" si="13"/>
        <v>0</v>
      </c>
      <c r="Q133" s="680"/>
    </row>
    <row r="134" spans="2:17" ht="12.75">
      <c r="B134" s="330"/>
      <c r="C134" s="735">
        <f>IF(D94="","-",+C133+1)</f>
        <v>2043</v>
      </c>
      <c r="D134" s="679">
        <f t="shared" si="14"/>
        <v>3517503.4396551787</v>
      </c>
      <c r="E134" s="741">
        <f t="shared" si="15"/>
        <v>143571.56896551725</v>
      </c>
      <c r="F134" s="741">
        <f t="shared" si="8"/>
        <v>3373931.8706896612</v>
      </c>
      <c r="G134" s="679">
        <f t="shared" si="9"/>
        <v>3445717.6551724197</v>
      </c>
      <c r="H134" s="736">
        <f>+J95*G134+E134</f>
        <v>586721.1702930586</v>
      </c>
      <c r="I134" s="742">
        <f>+J96*G134+E134</f>
        <v>586721.1702930586</v>
      </c>
      <c r="J134" s="739">
        <f t="shared" si="10"/>
        <v>0</v>
      </c>
      <c r="K134" s="739"/>
      <c r="L134" s="743"/>
      <c r="M134" s="739">
        <f t="shared" si="11"/>
        <v>0</v>
      </c>
      <c r="N134" s="743"/>
      <c r="O134" s="739">
        <f t="shared" si="12"/>
        <v>0</v>
      </c>
      <c r="P134" s="739">
        <f t="shared" si="13"/>
        <v>0</v>
      </c>
      <c r="Q134" s="680"/>
    </row>
    <row r="135" spans="2:17" ht="12.75">
      <c r="B135" s="330"/>
      <c r="C135" s="735">
        <f>IF(D94="","-",+C134+1)</f>
        <v>2044</v>
      </c>
      <c r="D135" s="679">
        <f t="shared" si="14"/>
        <v>3373931.8706896612</v>
      </c>
      <c r="E135" s="741">
        <f t="shared" si="15"/>
        <v>143571.56896551725</v>
      </c>
      <c r="F135" s="741">
        <f t="shared" si="8"/>
        <v>3230360.301724144</v>
      </c>
      <c r="G135" s="679">
        <f t="shared" si="9"/>
        <v>3302146.0862069027</v>
      </c>
      <c r="H135" s="736">
        <f>+J95*G135+E135</f>
        <v>568256.6035710778</v>
      </c>
      <c r="I135" s="742">
        <f>+J96*G135+E135</f>
        <v>568256.6035710778</v>
      </c>
      <c r="J135" s="739">
        <f t="shared" si="10"/>
        <v>0</v>
      </c>
      <c r="K135" s="739"/>
      <c r="L135" s="743"/>
      <c r="M135" s="739">
        <f t="shared" si="11"/>
        <v>0</v>
      </c>
      <c r="N135" s="743"/>
      <c r="O135" s="739">
        <f t="shared" si="12"/>
        <v>0</v>
      </c>
      <c r="P135" s="739">
        <f t="shared" si="13"/>
        <v>0</v>
      </c>
      <c r="Q135" s="680"/>
    </row>
    <row r="136" spans="2:17" ht="12.75">
      <c r="B136" s="330"/>
      <c r="C136" s="735">
        <f>IF(D94="","-",+C135+1)</f>
        <v>2045</v>
      </c>
      <c r="D136" s="679">
        <f t="shared" si="14"/>
        <v>3230360.301724144</v>
      </c>
      <c r="E136" s="741">
        <f t="shared" si="15"/>
        <v>143571.56896551725</v>
      </c>
      <c r="F136" s="741">
        <f t="shared" si="8"/>
        <v>3086788.7327586263</v>
      </c>
      <c r="G136" s="679">
        <f t="shared" si="9"/>
        <v>3158574.517241385</v>
      </c>
      <c r="H136" s="736">
        <f>+J95*G136+E136</f>
        <v>549792.0368490969</v>
      </c>
      <c r="I136" s="742">
        <f>+J96*G136+E136</f>
        <v>549792.0368490969</v>
      </c>
      <c r="J136" s="739">
        <f t="shared" si="10"/>
        <v>0</v>
      </c>
      <c r="K136" s="739"/>
      <c r="L136" s="743"/>
      <c r="M136" s="739">
        <f t="shared" si="11"/>
        <v>0</v>
      </c>
      <c r="N136" s="743"/>
      <c r="O136" s="739">
        <f t="shared" si="12"/>
        <v>0</v>
      </c>
      <c r="P136" s="739">
        <f t="shared" si="13"/>
        <v>0</v>
      </c>
      <c r="Q136" s="680"/>
    </row>
    <row r="137" spans="2:17" ht="12.75">
      <c r="B137" s="330"/>
      <c r="C137" s="735">
        <f>IF(D94="","-",+C136+1)</f>
        <v>2046</v>
      </c>
      <c r="D137" s="679">
        <f t="shared" si="14"/>
        <v>3086788.7327586263</v>
      </c>
      <c r="E137" s="741">
        <f t="shared" si="15"/>
        <v>143571.56896551725</v>
      </c>
      <c r="F137" s="741">
        <f t="shared" si="8"/>
        <v>2943217.163793109</v>
      </c>
      <c r="G137" s="679">
        <f t="shared" si="9"/>
        <v>3015002.948275868</v>
      </c>
      <c r="H137" s="736">
        <f>+J95*G137+E137</f>
        <v>531327.4701271161</v>
      </c>
      <c r="I137" s="742">
        <f>+J96*G137+E137</f>
        <v>531327.4701271161</v>
      </c>
      <c r="J137" s="739">
        <f t="shared" si="10"/>
        <v>0</v>
      </c>
      <c r="K137" s="739"/>
      <c r="L137" s="743"/>
      <c r="M137" s="739">
        <f t="shared" si="11"/>
        <v>0</v>
      </c>
      <c r="N137" s="743"/>
      <c r="O137" s="739">
        <f t="shared" si="12"/>
        <v>0</v>
      </c>
      <c r="P137" s="739">
        <f t="shared" si="13"/>
        <v>0</v>
      </c>
      <c r="Q137" s="680"/>
    </row>
    <row r="138" spans="2:17" ht="12.75">
      <c r="B138" s="330"/>
      <c r="C138" s="735">
        <f>IF(D94="","-",+C137+1)</f>
        <v>2047</v>
      </c>
      <c r="D138" s="679">
        <f t="shared" si="14"/>
        <v>2943217.163793109</v>
      </c>
      <c r="E138" s="741">
        <f t="shared" si="15"/>
        <v>143571.56896551725</v>
      </c>
      <c r="F138" s="741">
        <f t="shared" si="8"/>
        <v>2799645.5948275914</v>
      </c>
      <c r="G138" s="679">
        <f t="shared" si="9"/>
        <v>2871431.37931035</v>
      </c>
      <c r="H138" s="736">
        <f>+J95*G138+E138</f>
        <v>512862.90340513515</v>
      </c>
      <c r="I138" s="742">
        <f>+J96*G138+E138</f>
        <v>512862.90340513515</v>
      </c>
      <c r="J138" s="739">
        <f t="shared" si="10"/>
        <v>0</v>
      </c>
      <c r="K138" s="739"/>
      <c r="L138" s="743"/>
      <c r="M138" s="739">
        <f t="shared" si="11"/>
        <v>0</v>
      </c>
      <c r="N138" s="743"/>
      <c r="O138" s="739">
        <f t="shared" si="12"/>
        <v>0</v>
      </c>
      <c r="P138" s="739">
        <f t="shared" si="13"/>
        <v>0</v>
      </c>
      <c r="Q138" s="680"/>
    </row>
    <row r="139" spans="2:17" ht="12.75">
      <c r="B139" s="330"/>
      <c r="C139" s="735">
        <f>IF(D94="","-",+C138+1)</f>
        <v>2048</v>
      </c>
      <c r="D139" s="679">
        <f t="shared" si="14"/>
        <v>2799645.5948275914</v>
      </c>
      <c r="E139" s="741">
        <f t="shared" si="15"/>
        <v>143571.56896551725</v>
      </c>
      <c r="F139" s="741">
        <f t="shared" si="8"/>
        <v>2656074.025862074</v>
      </c>
      <c r="G139" s="679">
        <f t="shared" si="9"/>
        <v>2727859.810344833</v>
      </c>
      <c r="H139" s="736">
        <f>+J95*G139+E139</f>
        <v>494398.3366831542</v>
      </c>
      <c r="I139" s="742">
        <f>+J96*G139+E139</f>
        <v>494398.3366831542</v>
      </c>
      <c r="J139" s="739">
        <f t="shared" si="10"/>
        <v>0</v>
      </c>
      <c r="K139" s="739"/>
      <c r="L139" s="743"/>
      <c r="M139" s="739">
        <f t="shared" si="11"/>
        <v>0</v>
      </c>
      <c r="N139" s="743"/>
      <c r="O139" s="739">
        <f t="shared" si="12"/>
        <v>0</v>
      </c>
      <c r="P139" s="739">
        <f t="shared" si="13"/>
        <v>0</v>
      </c>
      <c r="Q139" s="680"/>
    </row>
    <row r="140" spans="2:17" ht="12.75">
      <c r="B140" s="330"/>
      <c r="C140" s="735">
        <f>IF(D94="","-",+C139+1)</f>
        <v>2049</v>
      </c>
      <c r="D140" s="679">
        <f t="shared" si="14"/>
        <v>2656074.025862074</v>
      </c>
      <c r="E140" s="741">
        <f t="shared" si="15"/>
        <v>143571.56896551725</v>
      </c>
      <c r="F140" s="741">
        <f t="shared" si="8"/>
        <v>2512502.4568965565</v>
      </c>
      <c r="G140" s="679">
        <f t="shared" si="9"/>
        <v>2584288.241379315</v>
      </c>
      <c r="H140" s="736">
        <f>+J95*G140+E140</f>
        <v>475933.7699611733</v>
      </c>
      <c r="I140" s="742">
        <f>+J96*G140+E140</f>
        <v>475933.7699611733</v>
      </c>
      <c r="J140" s="739">
        <f t="shared" si="10"/>
        <v>0</v>
      </c>
      <c r="K140" s="739"/>
      <c r="L140" s="743"/>
      <c r="M140" s="739">
        <f t="shared" si="11"/>
        <v>0</v>
      </c>
      <c r="N140" s="743"/>
      <c r="O140" s="739">
        <f t="shared" si="12"/>
        <v>0</v>
      </c>
      <c r="P140" s="739">
        <f t="shared" si="13"/>
        <v>0</v>
      </c>
      <c r="Q140" s="680"/>
    </row>
    <row r="141" spans="2:17" ht="12.75">
      <c r="B141" s="330"/>
      <c r="C141" s="735">
        <f>IF(D94="","-",+C140+1)</f>
        <v>2050</v>
      </c>
      <c r="D141" s="679">
        <f t="shared" si="14"/>
        <v>2512502.4568965565</v>
      </c>
      <c r="E141" s="741">
        <f t="shared" si="15"/>
        <v>143571.56896551725</v>
      </c>
      <c r="F141" s="741">
        <f t="shared" si="8"/>
        <v>2368930.887931039</v>
      </c>
      <c r="G141" s="679">
        <f t="shared" si="9"/>
        <v>2440716.672413798</v>
      </c>
      <c r="H141" s="736">
        <f>+J95*G141+E141</f>
        <v>457469.2032391925</v>
      </c>
      <c r="I141" s="742">
        <f>+J96*G141+E141</f>
        <v>457469.2032391925</v>
      </c>
      <c r="J141" s="739">
        <f t="shared" si="10"/>
        <v>0</v>
      </c>
      <c r="K141" s="739"/>
      <c r="L141" s="743"/>
      <c r="M141" s="739">
        <f t="shared" si="11"/>
        <v>0</v>
      </c>
      <c r="N141" s="743"/>
      <c r="O141" s="739">
        <f t="shared" si="12"/>
        <v>0</v>
      </c>
      <c r="P141" s="739">
        <f t="shared" si="13"/>
        <v>0</v>
      </c>
      <c r="Q141" s="680"/>
    </row>
    <row r="142" spans="2:17" ht="12.75">
      <c r="B142" s="330"/>
      <c r="C142" s="735">
        <f>IF(D94="","-",+C141+1)</f>
        <v>2051</v>
      </c>
      <c r="D142" s="679">
        <f t="shared" si="14"/>
        <v>2368930.887931039</v>
      </c>
      <c r="E142" s="741">
        <f t="shared" si="15"/>
        <v>143571.56896551725</v>
      </c>
      <c r="F142" s="741">
        <f t="shared" si="8"/>
        <v>2225359.3189655216</v>
      </c>
      <c r="G142" s="679">
        <f t="shared" si="9"/>
        <v>2297145.10344828</v>
      </c>
      <c r="H142" s="736">
        <f>+J95*G142+E142</f>
        <v>439004.63651721156</v>
      </c>
      <c r="I142" s="742">
        <f>+J96*G142+E142</f>
        <v>439004.63651721156</v>
      </c>
      <c r="J142" s="739">
        <f t="shared" si="10"/>
        <v>0</v>
      </c>
      <c r="K142" s="739"/>
      <c r="L142" s="743"/>
      <c r="M142" s="739">
        <f t="shared" si="11"/>
        <v>0</v>
      </c>
      <c r="N142" s="743"/>
      <c r="O142" s="739">
        <f t="shared" si="12"/>
        <v>0</v>
      </c>
      <c r="P142" s="739">
        <f t="shared" si="13"/>
        <v>0</v>
      </c>
      <c r="Q142" s="680"/>
    </row>
    <row r="143" spans="2:17" ht="12.75">
      <c r="B143" s="330"/>
      <c r="C143" s="735">
        <f>IF(D94="","-",+C142+1)</f>
        <v>2052</v>
      </c>
      <c r="D143" s="679">
        <f t="shared" si="14"/>
        <v>2225359.3189655216</v>
      </c>
      <c r="E143" s="741">
        <f t="shared" si="15"/>
        <v>143571.56896551725</v>
      </c>
      <c r="F143" s="741">
        <f t="shared" si="8"/>
        <v>2081787.7500000044</v>
      </c>
      <c r="G143" s="679">
        <f t="shared" si="9"/>
        <v>2153573.534482763</v>
      </c>
      <c r="H143" s="736">
        <f>+J95*G143+E143</f>
        <v>420540.06979523075</v>
      </c>
      <c r="I143" s="742">
        <f>+J96*G143+E143</f>
        <v>420540.06979523075</v>
      </c>
      <c r="J143" s="739">
        <f t="shared" si="10"/>
        <v>0</v>
      </c>
      <c r="K143" s="739"/>
      <c r="L143" s="743"/>
      <c r="M143" s="739">
        <f t="shared" si="11"/>
        <v>0</v>
      </c>
      <c r="N143" s="743"/>
      <c r="O143" s="739">
        <f t="shared" si="12"/>
        <v>0</v>
      </c>
      <c r="P143" s="739">
        <f t="shared" si="13"/>
        <v>0</v>
      </c>
      <c r="Q143" s="680"/>
    </row>
    <row r="144" spans="2:17" ht="12.75">
      <c r="B144" s="330"/>
      <c r="C144" s="735">
        <f>IF(D94="","-",+C143+1)</f>
        <v>2053</v>
      </c>
      <c r="D144" s="679">
        <f t="shared" si="14"/>
        <v>2081787.7500000044</v>
      </c>
      <c r="E144" s="741">
        <f t="shared" si="15"/>
        <v>143571.56896551725</v>
      </c>
      <c r="F144" s="741">
        <f t="shared" si="8"/>
        <v>1938216.1810344872</v>
      </c>
      <c r="G144" s="679">
        <f t="shared" si="9"/>
        <v>2010001.9655172457</v>
      </c>
      <c r="H144" s="736">
        <f>+J95*G144+E144</f>
        <v>402075.5030732498</v>
      </c>
      <c r="I144" s="742">
        <f>+J96*G144+E144</f>
        <v>402075.5030732498</v>
      </c>
      <c r="J144" s="739">
        <f t="shared" si="10"/>
        <v>0</v>
      </c>
      <c r="K144" s="739"/>
      <c r="L144" s="743"/>
      <c r="M144" s="739">
        <f t="shared" si="11"/>
        <v>0</v>
      </c>
      <c r="N144" s="743"/>
      <c r="O144" s="739">
        <f t="shared" si="12"/>
        <v>0</v>
      </c>
      <c r="P144" s="739">
        <f t="shared" si="13"/>
        <v>0</v>
      </c>
      <c r="Q144" s="680"/>
    </row>
    <row r="145" spans="2:17" ht="12.75">
      <c r="B145" s="330"/>
      <c r="C145" s="735">
        <f>IF(D94="","-",+C144+1)</f>
        <v>2054</v>
      </c>
      <c r="D145" s="679">
        <f t="shared" si="14"/>
        <v>1938216.1810344872</v>
      </c>
      <c r="E145" s="741">
        <f t="shared" si="15"/>
        <v>143571.56896551725</v>
      </c>
      <c r="F145" s="741">
        <f t="shared" si="8"/>
        <v>1794644.61206897</v>
      </c>
      <c r="G145" s="679">
        <f t="shared" si="9"/>
        <v>1866430.3965517287</v>
      </c>
      <c r="H145" s="736">
        <f>+J95*G145+E145</f>
        <v>383610.936351269</v>
      </c>
      <c r="I145" s="742">
        <f>+J96*G145+E145</f>
        <v>383610.936351269</v>
      </c>
      <c r="J145" s="739">
        <f t="shared" si="10"/>
        <v>0</v>
      </c>
      <c r="K145" s="739"/>
      <c r="L145" s="743"/>
      <c r="M145" s="739">
        <f t="shared" si="11"/>
        <v>0</v>
      </c>
      <c r="N145" s="743"/>
      <c r="O145" s="739">
        <f t="shared" si="12"/>
        <v>0</v>
      </c>
      <c r="P145" s="739">
        <f t="shared" si="13"/>
        <v>0</v>
      </c>
      <c r="Q145" s="680"/>
    </row>
    <row r="146" spans="2:17" ht="12.75">
      <c r="B146" s="330"/>
      <c r="C146" s="735">
        <f>IF(D94="","-",+C145+1)</f>
        <v>2055</v>
      </c>
      <c r="D146" s="679">
        <f t="shared" si="14"/>
        <v>1794644.61206897</v>
      </c>
      <c r="E146" s="741">
        <f t="shared" si="15"/>
        <v>143571.56896551725</v>
      </c>
      <c r="F146" s="741">
        <f t="shared" si="8"/>
        <v>1651073.0431034528</v>
      </c>
      <c r="G146" s="679">
        <f t="shared" si="9"/>
        <v>1722858.8275862113</v>
      </c>
      <c r="H146" s="736">
        <f>+J95*G146+E146</f>
        <v>365146.3696292881</v>
      </c>
      <c r="I146" s="742">
        <f>+J96*G146+E146</f>
        <v>365146.3696292881</v>
      </c>
      <c r="J146" s="739">
        <f t="shared" si="10"/>
        <v>0</v>
      </c>
      <c r="K146" s="739"/>
      <c r="L146" s="743"/>
      <c r="M146" s="739">
        <f t="shared" si="11"/>
        <v>0</v>
      </c>
      <c r="N146" s="743"/>
      <c r="O146" s="739">
        <f t="shared" si="12"/>
        <v>0</v>
      </c>
      <c r="P146" s="739">
        <f t="shared" si="13"/>
        <v>0</v>
      </c>
      <c r="Q146" s="680"/>
    </row>
    <row r="147" spans="2:17" ht="12.75">
      <c r="B147" s="330"/>
      <c r="C147" s="735">
        <f>IF(D94="","-",+C146+1)</f>
        <v>2056</v>
      </c>
      <c r="D147" s="679">
        <f t="shared" si="14"/>
        <v>1651073.0431034528</v>
      </c>
      <c r="E147" s="741">
        <f t="shared" si="15"/>
        <v>143571.56896551725</v>
      </c>
      <c r="F147" s="741">
        <f t="shared" si="8"/>
        <v>1507501.4741379356</v>
      </c>
      <c r="G147" s="679">
        <f t="shared" si="9"/>
        <v>1579287.2586206943</v>
      </c>
      <c r="H147" s="736">
        <f>+J95*G147+E147</f>
        <v>346681.8029073073</v>
      </c>
      <c r="I147" s="742">
        <f>+J96*G147+E147</f>
        <v>346681.8029073073</v>
      </c>
      <c r="J147" s="739">
        <f t="shared" si="10"/>
        <v>0</v>
      </c>
      <c r="K147" s="739"/>
      <c r="L147" s="743"/>
      <c r="M147" s="739">
        <f t="shared" si="11"/>
        <v>0</v>
      </c>
      <c r="N147" s="743"/>
      <c r="O147" s="739">
        <f t="shared" si="12"/>
        <v>0</v>
      </c>
      <c r="P147" s="739">
        <f t="shared" si="13"/>
        <v>0</v>
      </c>
      <c r="Q147" s="680"/>
    </row>
    <row r="148" spans="2:17" ht="12.75">
      <c r="B148" s="330"/>
      <c r="C148" s="735">
        <f>IF(D94="","-",+C147+1)</f>
        <v>2057</v>
      </c>
      <c r="D148" s="679">
        <f t="shared" si="14"/>
        <v>1507501.4741379356</v>
      </c>
      <c r="E148" s="741">
        <f t="shared" si="15"/>
        <v>143571.56896551725</v>
      </c>
      <c r="F148" s="741">
        <f t="shared" si="8"/>
        <v>1363929.9051724183</v>
      </c>
      <c r="G148" s="679">
        <f t="shared" si="9"/>
        <v>1435715.6896551768</v>
      </c>
      <c r="H148" s="736">
        <f>+J95*G148+E148</f>
        <v>328217.2361853264</v>
      </c>
      <c r="I148" s="742">
        <f>+J96*G148+E148</f>
        <v>328217.2361853264</v>
      </c>
      <c r="J148" s="739">
        <f t="shared" si="10"/>
        <v>0</v>
      </c>
      <c r="K148" s="739"/>
      <c r="L148" s="743"/>
      <c r="M148" s="739">
        <f t="shared" si="11"/>
        <v>0</v>
      </c>
      <c r="N148" s="743"/>
      <c r="O148" s="739">
        <f t="shared" si="12"/>
        <v>0</v>
      </c>
      <c r="P148" s="739">
        <f t="shared" si="13"/>
        <v>0</v>
      </c>
      <c r="Q148" s="680"/>
    </row>
    <row r="149" spans="2:17" ht="12.75">
      <c r="B149" s="330"/>
      <c r="C149" s="735">
        <f>IF(D94="","-",+C148+1)</f>
        <v>2058</v>
      </c>
      <c r="D149" s="679">
        <f t="shared" si="14"/>
        <v>1363929.9051724183</v>
      </c>
      <c r="E149" s="741">
        <f t="shared" si="15"/>
        <v>143571.56896551725</v>
      </c>
      <c r="F149" s="741">
        <f t="shared" si="8"/>
        <v>1220358.3362069011</v>
      </c>
      <c r="G149" s="679">
        <f t="shared" si="9"/>
        <v>1292144.1206896598</v>
      </c>
      <c r="H149" s="736">
        <f>+J95*G149+E149</f>
        <v>309752.66946334555</v>
      </c>
      <c r="I149" s="742">
        <f>+J96*G149+E149</f>
        <v>309752.66946334555</v>
      </c>
      <c r="J149" s="739">
        <f t="shared" si="10"/>
        <v>0</v>
      </c>
      <c r="K149" s="739"/>
      <c r="L149" s="743"/>
      <c r="M149" s="739">
        <f t="shared" si="11"/>
        <v>0</v>
      </c>
      <c r="N149" s="743"/>
      <c r="O149" s="739">
        <f t="shared" si="12"/>
        <v>0</v>
      </c>
      <c r="P149" s="739">
        <f t="shared" si="13"/>
        <v>0</v>
      </c>
      <c r="Q149" s="680"/>
    </row>
    <row r="150" spans="2:17" ht="12.75">
      <c r="B150" s="330"/>
      <c r="C150" s="735">
        <f>IF(D94="","-",+C149+1)</f>
        <v>2059</v>
      </c>
      <c r="D150" s="679">
        <f t="shared" si="14"/>
        <v>1220358.3362069011</v>
      </c>
      <c r="E150" s="741">
        <f t="shared" si="15"/>
        <v>143571.56896551725</v>
      </c>
      <c r="F150" s="741">
        <f t="shared" si="8"/>
        <v>1076786.767241384</v>
      </c>
      <c r="G150" s="679">
        <f t="shared" si="9"/>
        <v>1148572.5517241424</v>
      </c>
      <c r="H150" s="736">
        <f>+J95*G150+E150</f>
        <v>291288.10274136474</v>
      </c>
      <c r="I150" s="742">
        <f>+J96*G150+E150</f>
        <v>291288.10274136474</v>
      </c>
      <c r="J150" s="739">
        <f t="shared" si="10"/>
        <v>0</v>
      </c>
      <c r="K150" s="739"/>
      <c r="L150" s="743"/>
      <c r="M150" s="739">
        <f t="shared" si="11"/>
        <v>0</v>
      </c>
      <c r="N150" s="743"/>
      <c r="O150" s="739">
        <f t="shared" si="12"/>
        <v>0</v>
      </c>
      <c r="P150" s="739">
        <f t="shared" si="13"/>
        <v>0</v>
      </c>
      <c r="Q150" s="680"/>
    </row>
    <row r="151" spans="2:17" ht="12.75">
      <c r="B151" s="330"/>
      <c r="C151" s="735">
        <f>IF(D94="","-",+C150+1)</f>
        <v>2060</v>
      </c>
      <c r="D151" s="679">
        <f t="shared" si="14"/>
        <v>1076786.767241384</v>
      </c>
      <c r="E151" s="741">
        <f t="shared" si="15"/>
        <v>143571.56896551725</v>
      </c>
      <c r="F151" s="741">
        <f t="shared" si="8"/>
        <v>933215.1982758667</v>
      </c>
      <c r="G151" s="679">
        <f t="shared" si="9"/>
        <v>1005000.9827586253</v>
      </c>
      <c r="H151" s="736">
        <f>+J95*G151+E151</f>
        <v>272823.5360193839</v>
      </c>
      <c r="I151" s="742">
        <f>+J96*G151+E151</f>
        <v>272823.5360193839</v>
      </c>
      <c r="J151" s="739">
        <f t="shared" si="10"/>
        <v>0</v>
      </c>
      <c r="K151" s="739"/>
      <c r="L151" s="743"/>
      <c r="M151" s="739">
        <f t="shared" si="11"/>
        <v>0</v>
      </c>
      <c r="N151" s="743"/>
      <c r="O151" s="739">
        <f t="shared" si="12"/>
        <v>0</v>
      </c>
      <c r="P151" s="739">
        <f t="shared" si="13"/>
        <v>0</v>
      </c>
      <c r="Q151" s="680"/>
    </row>
    <row r="152" spans="2:17" ht="12.75">
      <c r="B152" s="330"/>
      <c r="C152" s="735">
        <f>IF(D94="","-",+C151+1)</f>
        <v>2061</v>
      </c>
      <c r="D152" s="679">
        <f t="shared" si="14"/>
        <v>933215.1982758667</v>
      </c>
      <c r="E152" s="741">
        <f t="shared" si="15"/>
        <v>143571.56896551725</v>
      </c>
      <c r="F152" s="741">
        <f t="shared" si="8"/>
        <v>789643.6293103495</v>
      </c>
      <c r="G152" s="679">
        <f t="shared" si="9"/>
        <v>861429.4137931081</v>
      </c>
      <c r="H152" s="736">
        <f>+J95*G152+E152</f>
        <v>254358.969297403</v>
      </c>
      <c r="I152" s="742">
        <f>+J96*G152+E152</f>
        <v>254358.969297403</v>
      </c>
      <c r="J152" s="739">
        <f t="shared" si="10"/>
        <v>0</v>
      </c>
      <c r="K152" s="739"/>
      <c r="L152" s="743"/>
      <c r="M152" s="739">
        <f t="shared" si="11"/>
        <v>0</v>
      </c>
      <c r="N152" s="743"/>
      <c r="O152" s="739">
        <f t="shared" si="12"/>
        <v>0</v>
      </c>
      <c r="P152" s="739">
        <f t="shared" si="13"/>
        <v>0</v>
      </c>
      <c r="Q152" s="680"/>
    </row>
    <row r="153" spans="2:17" ht="12.75">
      <c r="B153" s="330"/>
      <c r="C153" s="735">
        <f>IF(D94="","-",+C152+1)</f>
        <v>2062</v>
      </c>
      <c r="D153" s="679">
        <f t="shared" si="14"/>
        <v>789643.6293103495</v>
      </c>
      <c r="E153" s="741">
        <f t="shared" si="15"/>
        <v>143571.56896551725</v>
      </c>
      <c r="F153" s="741">
        <f t="shared" si="8"/>
        <v>646072.0603448323</v>
      </c>
      <c r="G153" s="679">
        <f t="shared" si="9"/>
        <v>717857.8448275909</v>
      </c>
      <c r="H153" s="736">
        <f>+J95*G153+E153</f>
        <v>235894.40257542214</v>
      </c>
      <c r="I153" s="742">
        <f>+J96*G153+E153</f>
        <v>235894.40257542214</v>
      </c>
      <c r="J153" s="739">
        <f t="shared" si="10"/>
        <v>0</v>
      </c>
      <c r="K153" s="739"/>
      <c r="L153" s="743"/>
      <c r="M153" s="739">
        <f t="shared" si="11"/>
        <v>0</v>
      </c>
      <c r="N153" s="743"/>
      <c r="O153" s="739">
        <f t="shared" si="12"/>
        <v>0</v>
      </c>
      <c r="P153" s="739">
        <f t="shared" si="13"/>
        <v>0</v>
      </c>
      <c r="Q153" s="680"/>
    </row>
    <row r="154" spans="2:17" ht="12.75">
      <c r="B154" s="330"/>
      <c r="C154" s="735">
        <f>IF(D94="","-",+C153+1)</f>
        <v>2063</v>
      </c>
      <c r="D154" s="679">
        <f t="shared" si="14"/>
        <v>646072.0603448323</v>
      </c>
      <c r="E154" s="741">
        <f t="shared" si="15"/>
        <v>143571.56896551725</v>
      </c>
      <c r="F154" s="741">
        <f t="shared" si="8"/>
        <v>502500.49137931503</v>
      </c>
      <c r="G154" s="679">
        <f t="shared" si="9"/>
        <v>574286.2758620736</v>
      </c>
      <c r="H154" s="736">
        <f>+J95*G154+E154</f>
        <v>217429.83585344127</v>
      </c>
      <c r="I154" s="742">
        <f>+J96*G154+E154</f>
        <v>217429.83585344127</v>
      </c>
      <c r="J154" s="739">
        <f t="shared" si="10"/>
        <v>0</v>
      </c>
      <c r="K154" s="739"/>
      <c r="L154" s="743"/>
      <c r="M154" s="739">
        <f t="shared" si="11"/>
        <v>0</v>
      </c>
      <c r="N154" s="743"/>
      <c r="O154" s="739">
        <f t="shared" si="12"/>
        <v>0</v>
      </c>
      <c r="P154" s="739">
        <f t="shared" si="13"/>
        <v>0</v>
      </c>
      <c r="Q154" s="680"/>
    </row>
    <row r="155" spans="2:17" ht="12.75">
      <c r="B155" s="330"/>
      <c r="C155" s="735">
        <f>IF(D94="","-",+C154+1)</f>
        <v>2064</v>
      </c>
      <c r="D155" s="679">
        <f t="shared" si="14"/>
        <v>502500.49137931503</v>
      </c>
      <c r="E155" s="741">
        <f t="shared" si="15"/>
        <v>143571.56896551725</v>
      </c>
      <c r="F155" s="741">
        <f t="shared" si="8"/>
        <v>358928.9224137978</v>
      </c>
      <c r="G155" s="679">
        <f t="shared" si="9"/>
        <v>430714.7068965564</v>
      </c>
      <c r="H155" s="736">
        <f>+J95*G155+E155</f>
        <v>198965.26913146043</v>
      </c>
      <c r="I155" s="742">
        <f>+J96*G155+E155</f>
        <v>198965.26913146043</v>
      </c>
      <c r="J155" s="739">
        <f t="shared" si="10"/>
        <v>0</v>
      </c>
      <c r="K155" s="739"/>
      <c r="L155" s="743"/>
      <c r="M155" s="739">
        <f t="shared" si="11"/>
        <v>0</v>
      </c>
      <c r="N155" s="743"/>
      <c r="O155" s="739">
        <f t="shared" si="12"/>
        <v>0</v>
      </c>
      <c r="P155" s="739">
        <f t="shared" si="13"/>
        <v>0</v>
      </c>
      <c r="Q155" s="680"/>
    </row>
    <row r="156" spans="2:17" ht="12.75">
      <c r="B156" s="330"/>
      <c r="C156" s="735">
        <f>IF(D94="","-",+C155+1)</f>
        <v>2065</v>
      </c>
      <c r="D156" s="679">
        <f t="shared" si="14"/>
        <v>358928.9224137978</v>
      </c>
      <c r="E156" s="741">
        <f t="shared" si="15"/>
        <v>143571.56896551725</v>
      </c>
      <c r="F156" s="741">
        <f t="shared" si="8"/>
        <v>215357.35344828057</v>
      </c>
      <c r="G156" s="679">
        <f t="shared" si="9"/>
        <v>287143.1379310392</v>
      </c>
      <c r="H156" s="736">
        <f>+J95*G156+E156</f>
        <v>180500.70240947956</v>
      </c>
      <c r="I156" s="742">
        <f>+J96*G156+E156</f>
        <v>180500.70240947956</v>
      </c>
      <c r="J156" s="739">
        <f t="shared" si="10"/>
        <v>0</v>
      </c>
      <c r="K156" s="739"/>
      <c r="L156" s="743"/>
      <c r="M156" s="739">
        <f t="shared" si="11"/>
        <v>0</v>
      </c>
      <c r="N156" s="743"/>
      <c r="O156" s="739">
        <f t="shared" si="12"/>
        <v>0</v>
      </c>
      <c r="P156" s="739">
        <f t="shared" si="13"/>
        <v>0</v>
      </c>
      <c r="Q156" s="680"/>
    </row>
    <row r="157" spans="2:17" ht="12.75">
      <c r="B157" s="330"/>
      <c r="C157" s="735">
        <f>IF(D94="","-",+C156+1)</f>
        <v>2066</v>
      </c>
      <c r="D157" s="679">
        <f t="shared" si="14"/>
        <v>215357.35344828057</v>
      </c>
      <c r="E157" s="741">
        <f t="shared" si="15"/>
        <v>143571.56896551725</v>
      </c>
      <c r="F157" s="741">
        <f t="shared" si="8"/>
        <v>71785.78448276332</v>
      </c>
      <c r="G157" s="679">
        <f t="shared" si="9"/>
        <v>143571.56896552193</v>
      </c>
      <c r="H157" s="736">
        <f>+J95*G157+E157</f>
        <v>162036.13568749873</v>
      </c>
      <c r="I157" s="742">
        <f>+J96*G157+E157</f>
        <v>162036.13568749873</v>
      </c>
      <c r="J157" s="739">
        <f t="shared" si="10"/>
        <v>0</v>
      </c>
      <c r="K157" s="739"/>
      <c r="L157" s="743"/>
      <c r="M157" s="739">
        <f t="shared" si="11"/>
        <v>0</v>
      </c>
      <c r="N157" s="743"/>
      <c r="O157" s="739">
        <f t="shared" si="12"/>
        <v>0</v>
      </c>
      <c r="P157" s="739">
        <f t="shared" si="13"/>
        <v>0</v>
      </c>
      <c r="Q157" s="680"/>
    </row>
    <row r="158" spans="2:17" ht="12.75">
      <c r="B158" s="330"/>
      <c r="C158" s="735">
        <f>IF(D94="","-",+C157+1)</f>
        <v>2067</v>
      </c>
      <c r="D158" s="679">
        <f t="shared" si="14"/>
        <v>71785.78448276332</v>
      </c>
      <c r="E158" s="741">
        <f t="shared" si="15"/>
        <v>71785.78448276332</v>
      </c>
      <c r="F158" s="741">
        <f t="shared" si="8"/>
        <v>0</v>
      </c>
      <c r="G158" s="679">
        <f t="shared" si="9"/>
        <v>35892.89224138166</v>
      </c>
      <c r="H158" s="736">
        <f>+J95*G158+E158</f>
        <v>76401.92616325885</v>
      </c>
      <c r="I158" s="742">
        <f>+J96*G158+E158</f>
        <v>76401.92616325885</v>
      </c>
      <c r="J158" s="739">
        <f t="shared" si="10"/>
        <v>0</v>
      </c>
      <c r="K158" s="739"/>
      <c r="L158" s="743"/>
      <c r="M158" s="739">
        <f t="shared" si="11"/>
        <v>0</v>
      </c>
      <c r="N158" s="743"/>
      <c r="O158" s="739">
        <f t="shared" si="12"/>
        <v>0</v>
      </c>
      <c r="P158" s="739">
        <f t="shared" si="13"/>
        <v>0</v>
      </c>
      <c r="Q158" s="680"/>
    </row>
    <row r="159" spans="2:17" ht="13.5" thickBot="1">
      <c r="B159" s="330"/>
      <c r="C159" s="746">
        <f>IF(D94="","-",+C158+1)</f>
        <v>2068</v>
      </c>
      <c r="D159" s="747">
        <f t="shared" si="14"/>
        <v>0</v>
      </c>
      <c r="E159" s="748">
        <f t="shared" si="15"/>
        <v>0</v>
      </c>
      <c r="F159" s="748">
        <f t="shared" si="8"/>
        <v>0</v>
      </c>
      <c r="G159" s="747">
        <f t="shared" si="9"/>
        <v>0</v>
      </c>
      <c r="H159" s="749">
        <f>+J95*G159+E159</f>
        <v>0</v>
      </c>
      <c r="I159" s="749">
        <f>+J96*G159+E159</f>
        <v>0</v>
      </c>
      <c r="J159" s="750">
        <f t="shared" si="10"/>
        <v>0</v>
      </c>
      <c r="K159" s="739"/>
      <c r="L159" s="751"/>
      <c r="M159" s="750">
        <f t="shared" si="11"/>
        <v>0</v>
      </c>
      <c r="N159" s="751"/>
      <c r="O159" s="750">
        <f t="shared" si="12"/>
        <v>0</v>
      </c>
      <c r="P159" s="750">
        <f t="shared" si="13"/>
        <v>0</v>
      </c>
      <c r="Q159" s="680"/>
    </row>
    <row r="160" spans="2:17" ht="12.75">
      <c r="B160" s="330"/>
      <c r="C160" s="679" t="s">
        <v>290</v>
      </c>
      <c r="D160" s="675"/>
      <c r="E160" s="675">
        <f>SUM(E100:E159)</f>
        <v>8327151</v>
      </c>
      <c r="F160" s="675"/>
      <c r="G160" s="675"/>
      <c r="H160" s="675">
        <f>SUM(H100:H159)</f>
        <v>39920024.661309294</v>
      </c>
      <c r="I160" s="675">
        <f>SUM(I100:I159)</f>
        <v>39920024.661309294</v>
      </c>
      <c r="J160" s="675">
        <f>SUM(J100:J159)</f>
        <v>0</v>
      </c>
      <c r="K160" s="675"/>
      <c r="L160" s="675"/>
      <c r="M160" s="675"/>
      <c r="N160" s="675"/>
      <c r="O160" s="675"/>
      <c r="Q160" s="675"/>
    </row>
    <row r="161" spans="2:17" ht="12.75">
      <c r="B161" s="330"/>
      <c r="D161" s="569"/>
      <c r="E161" s="546"/>
      <c r="F161" s="546"/>
      <c r="G161" s="546"/>
      <c r="H161" s="546"/>
      <c r="I161" s="652"/>
      <c r="J161" s="652"/>
      <c r="K161" s="675"/>
      <c r="L161" s="652"/>
      <c r="M161" s="652"/>
      <c r="N161" s="652"/>
      <c r="O161" s="652"/>
      <c r="Q161" s="675"/>
    </row>
    <row r="162" spans="2:17" ht="12.75">
      <c r="B162" s="330"/>
      <c r="C162" s="546" t="s">
        <v>605</v>
      </c>
      <c r="D162" s="569"/>
      <c r="E162" s="546"/>
      <c r="F162" s="546"/>
      <c r="G162" s="546"/>
      <c r="H162" s="546"/>
      <c r="I162" s="652"/>
      <c r="J162" s="652"/>
      <c r="K162" s="675"/>
      <c r="L162" s="652"/>
      <c r="M162" s="652"/>
      <c r="N162" s="652"/>
      <c r="O162" s="652"/>
      <c r="Q162" s="675"/>
    </row>
    <row r="163" spans="2:17" ht="12.75">
      <c r="B163" s="330"/>
      <c r="D163" s="569"/>
      <c r="E163" s="546"/>
      <c r="F163" s="546"/>
      <c r="G163" s="546"/>
      <c r="H163" s="546"/>
      <c r="I163" s="652"/>
      <c r="J163" s="652"/>
      <c r="K163" s="675"/>
      <c r="L163" s="652"/>
      <c r="M163" s="652"/>
      <c r="N163" s="652"/>
      <c r="O163" s="652"/>
      <c r="Q163" s="675"/>
    </row>
    <row r="164" spans="2:17" ht="12.75">
      <c r="B164" s="330"/>
      <c r="C164" s="582" t="s">
        <v>606</v>
      </c>
      <c r="D164" s="679"/>
      <c r="E164" s="679"/>
      <c r="F164" s="679"/>
      <c r="G164" s="679"/>
      <c r="H164" s="675"/>
      <c r="I164" s="675"/>
      <c r="J164" s="680"/>
      <c r="K164" s="680"/>
      <c r="L164" s="680"/>
      <c r="M164" s="680"/>
      <c r="N164" s="680"/>
      <c r="O164" s="680"/>
      <c r="Q164" s="680"/>
    </row>
    <row r="165" spans="2:17" ht="12.75">
      <c r="B165" s="330"/>
      <c r="C165" s="582" t="s">
        <v>478</v>
      </c>
      <c r="D165" s="679"/>
      <c r="E165" s="679"/>
      <c r="F165" s="679"/>
      <c r="G165" s="679"/>
      <c r="H165" s="675"/>
      <c r="I165" s="675"/>
      <c r="J165" s="680"/>
      <c r="K165" s="680"/>
      <c r="L165" s="680"/>
      <c r="M165" s="680"/>
      <c r="N165" s="680"/>
      <c r="O165" s="680"/>
      <c r="Q165" s="680"/>
    </row>
    <row r="166" spans="2:17" ht="12.75">
      <c r="B166" s="330"/>
      <c r="C166" s="582" t="s">
        <v>291</v>
      </c>
      <c r="D166" s="679"/>
      <c r="E166" s="679"/>
      <c r="F166" s="679"/>
      <c r="G166" s="679"/>
      <c r="H166" s="675"/>
      <c r="I166" s="675"/>
      <c r="J166" s="680"/>
      <c r="K166" s="680"/>
      <c r="L166" s="680"/>
      <c r="M166" s="680"/>
      <c r="N166" s="680"/>
      <c r="O166" s="680"/>
      <c r="Q166" s="680"/>
    </row>
    <row r="167" spans="2:17" ht="12.75">
      <c r="B167" s="330"/>
      <c r="C167" s="678"/>
      <c r="D167" s="679"/>
      <c r="E167" s="679"/>
      <c r="F167" s="679"/>
      <c r="G167" s="679"/>
      <c r="H167" s="675"/>
      <c r="I167" s="675"/>
      <c r="J167" s="680"/>
      <c r="K167" s="680"/>
      <c r="L167" s="680"/>
      <c r="M167" s="680"/>
      <c r="N167" s="680"/>
      <c r="O167" s="680"/>
      <c r="Q167" s="680"/>
    </row>
    <row r="168" spans="1:17" ht="20.25">
      <c r="A168" s="681" t="s">
        <v>762</v>
      </c>
      <c r="B168" s="546"/>
      <c r="C168" s="661"/>
      <c r="D168" s="569"/>
      <c r="E168" s="546"/>
      <c r="F168" s="651"/>
      <c r="G168" s="651"/>
      <c r="H168" s="546"/>
      <c r="I168" s="652"/>
      <c r="L168" s="682"/>
      <c r="M168" s="682"/>
      <c r="N168" s="682"/>
      <c r="O168" s="597" t="str">
        <f>"Page "&amp;SUM(Q$1:Q168)&amp;" of "</f>
        <v>Page 3 of </v>
      </c>
      <c r="P168" s="598">
        <f>COUNT(Q$6:Q$57776)</f>
        <v>10</v>
      </c>
      <c r="Q168" s="772">
        <v>1</v>
      </c>
    </row>
    <row r="169" spans="2:17" ht="12.75">
      <c r="B169" s="546"/>
      <c r="C169" s="546"/>
      <c r="D169" s="569"/>
      <c r="E169" s="546"/>
      <c r="F169" s="546"/>
      <c r="G169" s="546"/>
      <c r="H169" s="546"/>
      <c r="I169" s="652"/>
      <c r="J169" s="546"/>
      <c r="K169" s="594"/>
      <c r="Q169" s="594"/>
    </row>
    <row r="170" spans="2:17" ht="18">
      <c r="B170" s="601" t="s">
        <v>176</v>
      </c>
      <c r="C170" s="683" t="s">
        <v>292</v>
      </c>
      <c r="D170" s="569"/>
      <c r="E170" s="546"/>
      <c r="F170" s="546"/>
      <c r="G170" s="546"/>
      <c r="H170" s="546"/>
      <c r="I170" s="652"/>
      <c r="J170" s="652"/>
      <c r="K170" s="675"/>
      <c r="L170" s="652"/>
      <c r="M170" s="652"/>
      <c r="N170" s="652"/>
      <c r="O170" s="652"/>
      <c r="Q170" s="675"/>
    </row>
    <row r="171" spans="2:17" ht="18.75">
      <c r="B171" s="601"/>
      <c r="C171" s="600"/>
      <c r="D171" s="569"/>
      <c r="E171" s="546"/>
      <c r="F171" s="546"/>
      <c r="G171" s="546"/>
      <c r="H171" s="546"/>
      <c r="I171" s="652"/>
      <c r="J171" s="652"/>
      <c r="K171" s="675"/>
      <c r="L171" s="652"/>
      <c r="M171" s="652"/>
      <c r="N171" s="652"/>
      <c r="O171" s="652"/>
      <c r="Q171" s="675"/>
    </row>
    <row r="172" spans="2:17" ht="18.75">
      <c r="B172" s="601"/>
      <c r="C172" s="600" t="s">
        <v>293</v>
      </c>
      <c r="D172" s="569"/>
      <c r="E172" s="546"/>
      <c r="F172" s="546"/>
      <c r="G172" s="546"/>
      <c r="H172" s="546"/>
      <c r="I172" s="652"/>
      <c r="J172" s="652"/>
      <c r="K172" s="675"/>
      <c r="L172" s="652"/>
      <c r="M172" s="652"/>
      <c r="N172" s="652"/>
      <c r="O172" s="652"/>
      <c r="Q172" s="675"/>
    </row>
    <row r="173" spans="2:17" ht="15.75" thickBot="1">
      <c r="B173" s="330"/>
      <c r="C173" s="396"/>
      <c r="D173" s="569"/>
      <c r="E173" s="546"/>
      <c r="F173" s="546"/>
      <c r="G173" s="546"/>
      <c r="H173" s="546"/>
      <c r="I173" s="652"/>
      <c r="J173" s="652"/>
      <c r="K173" s="675"/>
      <c r="L173" s="652"/>
      <c r="M173" s="652"/>
      <c r="N173" s="652"/>
      <c r="O173" s="652"/>
      <c r="Q173" s="675"/>
    </row>
    <row r="174" spans="2:17" ht="15.75">
      <c r="B174" s="330"/>
      <c r="C174" s="602" t="s">
        <v>294</v>
      </c>
      <c r="D174" s="569"/>
      <c r="E174" s="546"/>
      <c r="F174" s="546"/>
      <c r="G174" s="546"/>
      <c r="H174" s="851"/>
      <c r="I174" s="546" t="s">
        <v>273</v>
      </c>
      <c r="J174" s="546"/>
      <c r="K174" s="594"/>
      <c r="L174" s="773">
        <f>+J180</f>
        <v>2017</v>
      </c>
      <c r="M174" s="755" t="s">
        <v>256</v>
      </c>
      <c r="N174" s="755" t="s">
        <v>257</v>
      </c>
      <c r="O174" s="756" t="s">
        <v>258</v>
      </c>
      <c r="Q174" s="594"/>
    </row>
    <row r="175" spans="2:17" ht="15.75">
      <c r="B175" s="330"/>
      <c r="C175" s="602"/>
      <c r="D175" s="569"/>
      <c r="E175" s="546"/>
      <c r="F175" s="546"/>
      <c r="H175" s="546"/>
      <c r="I175" s="688"/>
      <c r="J175" s="688"/>
      <c r="K175" s="689"/>
      <c r="L175" s="774" t="s">
        <v>457</v>
      </c>
      <c r="M175" s="775">
        <f>VLOOKUP(J180,C187:P246,10)</f>
        <v>77494</v>
      </c>
      <c r="N175" s="775">
        <f>VLOOKUP(J180,C187:P246,12)</f>
        <v>77494</v>
      </c>
      <c r="O175" s="776">
        <f>+N175-M175</f>
        <v>0</v>
      </c>
      <c r="Q175" s="689"/>
    </row>
    <row r="176" spans="2:17" ht="12.75">
      <c r="B176" s="330"/>
      <c r="C176" s="693" t="s">
        <v>295</v>
      </c>
      <c r="D176" s="1527" t="s">
        <v>970</v>
      </c>
      <c r="E176" s="1528"/>
      <c r="F176" s="1528"/>
      <c r="G176" s="1528"/>
      <c r="H176" s="1528"/>
      <c r="I176" s="1528"/>
      <c r="J176" s="652"/>
      <c r="K176" s="675"/>
      <c r="L176" s="774" t="s">
        <v>458</v>
      </c>
      <c r="M176" s="777">
        <f>VLOOKUP(J180,C187:P246,6)</f>
        <v>80268.0311980518</v>
      </c>
      <c r="N176" s="777">
        <f>VLOOKUP(J180,C187:P246,7)</f>
        <v>80268.0311980518</v>
      </c>
      <c r="O176" s="778">
        <f>+N176-M176</f>
        <v>0</v>
      </c>
      <c r="Q176" s="675"/>
    </row>
    <row r="177" spans="2:17" ht="13.5" thickBot="1">
      <c r="B177" s="330"/>
      <c r="C177" s="697"/>
      <c r="D177" s="1528"/>
      <c r="E177" s="1528"/>
      <c r="F177" s="1528"/>
      <c r="G177" s="1528"/>
      <c r="H177" s="1528"/>
      <c r="I177" s="1528"/>
      <c r="J177" s="652"/>
      <c r="K177" s="675"/>
      <c r="L177" s="718" t="s">
        <v>459</v>
      </c>
      <c r="M177" s="779">
        <f>+M176-M175</f>
        <v>2774.0311980518018</v>
      </c>
      <c r="N177" s="779">
        <f>+N176-N175</f>
        <v>2774.0311980518018</v>
      </c>
      <c r="O177" s="780">
        <f>+O176-O175</f>
        <v>0</v>
      </c>
      <c r="Q177" s="675"/>
    </row>
    <row r="178" spans="2:17" ht="13.5" thickBot="1">
      <c r="B178" s="330"/>
      <c r="C178" s="700"/>
      <c r="D178" s="701"/>
      <c r="E178" s="699"/>
      <c r="F178" s="699"/>
      <c r="G178" s="699"/>
      <c r="H178" s="699"/>
      <c r="I178" s="699"/>
      <c r="J178" s="699"/>
      <c r="K178" s="702"/>
      <c r="L178" s="699"/>
      <c r="M178" s="699"/>
      <c r="N178" s="699"/>
      <c r="O178" s="699"/>
      <c r="P178" s="582"/>
      <c r="Q178" s="702"/>
    </row>
    <row r="179" spans="2:17" ht="13.5" thickBot="1">
      <c r="B179" s="330"/>
      <c r="C179" s="704" t="s">
        <v>296</v>
      </c>
      <c r="D179" s="705"/>
      <c r="E179" s="705"/>
      <c r="F179" s="705"/>
      <c r="G179" s="705"/>
      <c r="H179" s="705"/>
      <c r="I179" s="705"/>
      <c r="J179" s="705"/>
      <c r="K179" s="707"/>
      <c r="P179" s="708"/>
      <c r="Q179" s="707"/>
    </row>
    <row r="180" spans="1:17" ht="15">
      <c r="A180" s="703"/>
      <c r="B180" s="330"/>
      <c r="C180" s="710" t="s">
        <v>274</v>
      </c>
      <c r="D180" s="1428">
        <v>585981</v>
      </c>
      <c r="E180" s="661" t="s">
        <v>275</v>
      </c>
      <c r="H180" s="711"/>
      <c r="I180" s="711"/>
      <c r="J180" s="712">
        <v>2017</v>
      </c>
      <c r="K180" s="592"/>
      <c r="L180" s="1515" t="s">
        <v>276</v>
      </c>
      <c r="M180" s="1515"/>
      <c r="N180" s="1515"/>
      <c r="O180" s="1515"/>
      <c r="P180" s="594"/>
      <c r="Q180" s="592"/>
    </row>
    <row r="181" spans="1:17" ht="12.75">
      <c r="A181" s="703"/>
      <c r="B181" s="330"/>
      <c r="C181" s="710" t="s">
        <v>277</v>
      </c>
      <c r="D181" s="1429">
        <v>2013</v>
      </c>
      <c r="E181" s="710" t="s">
        <v>278</v>
      </c>
      <c r="F181" s="711"/>
      <c r="G181" s="711"/>
      <c r="I181" s="330"/>
      <c r="J181" s="856">
        <v>0</v>
      </c>
      <c r="K181" s="713"/>
      <c r="L181" s="675" t="s">
        <v>477</v>
      </c>
      <c r="P181" s="594"/>
      <c r="Q181" s="713"/>
    </row>
    <row r="182" spans="1:17" ht="12.75">
      <c r="A182" s="703"/>
      <c r="B182" s="330"/>
      <c r="C182" s="710" t="s">
        <v>279</v>
      </c>
      <c r="D182" s="1430">
        <v>6</v>
      </c>
      <c r="E182" s="710" t="s">
        <v>280</v>
      </c>
      <c r="F182" s="711"/>
      <c r="G182" s="711"/>
      <c r="I182" s="330"/>
      <c r="J182" s="714">
        <f>$F$68</f>
        <v>0.12860879667906705</v>
      </c>
      <c r="K182" s="715"/>
      <c r="L182" s="546" t="str">
        <f>"          INPUT TRUE-UP ARR (WITH &amp; WITHOUT INCENTIVES) FROM EACH PRIOR YEAR"</f>
        <v>          INPUT TRUE-UP ARR (WITH &amp; WITHOUT INCENTIVES) FROM EACH PRIOR YEAR</v>
      </c>
      <c r="P182" s="594"/>
      <c r="Q182" s="715"/>
    </row>
    <row r="183" spans="1:17" ht="12.75">
      <c r="A183" s="703"/>
      <c r="B183" s="330"/>
      <c r="C183" s="710" t="s">
        <v>281</v>
      </c>
      <c r="D183" s="716">
        <f>$H$77</f>
        <v>58</v>
      </c>
      <c r="E183" s="710" t="s">
        <v>282</v>
      </c>
      <c r="F183" s="711"/>
      <c r="G183" s="711"/>
      <c r="I183" s="330"/>
      <c r="J183" s="714">
        <f>IF(H174="",J182,$F$67)</f>
        <v>0.12860879667906705</v>
      </c>
      <c r="K183" s="717"/>
      <c r="L183" s="546" t="s">
        <v>364</v>
      </c>
      <c r="M183" s="717"/>
      <c r="N183" s="717"/>
      <c r="O183" s="717"/>
      <c r="P183" s="594"/>
      <c r="Q183" s="717"/>
    </row>
    <row r="184" spans="1:17" ht="13.5" thickBot="1">
      <c r="A184" s="703"/>
      <c r="B184" s="330"/>
      <c r="C184" s="710" t="s">
        <v>283</v>
      </c>
      <c r="D184" s="855" t="s">
        <v>879</v>
      </c>
      <c r="E184" s="718" t="s">
        <v>284</v>
      </c>
      <c r="F184" s="719"/>
      <c r="G184" s="719"/>
      <c r="H184" s="720"/>
      <c r="I184" s="720"/>
      <c r="J184" s="696">
        <f>IF(D180=0,0,D180/D183)</f>
        <v>10103.120689655172</v>
      </c>
      <c r="K184" s="675"/>
      <c r="L184" s="675" t="s">
        <v>365</v>
      </c>
      <c r="M184" s="675"/>
      <c r="N184" s="675"/>
      <c r="O184" s="675"/>
      <c r="P184" s="594"/>
      <c r="Q184" s="675"/>
    </row>
    <row r="185" spans="1:17" ht="38.25">
      <c r="A185" s="531"/>
      <c r="B185" s="531"/>
      <c r="C185" s="721" t="s">
        <v>274</v>
      </c>
      <c r="D185" s="722" t="s">
        <v>285</v>
      </c>
      <c r="E185" s="723" t="s">
        <v>286</v>
      </c>
      <c r="F185" s="722" t="s">
        <v>287</v>
      </c>
      <c r="G185" s="722" t="s">
        <v>460</v>
      </c>
      <c r="H185" s="723" t="s">
        <v>358</v>
      </c>
      <c r="I185" s="724" t="s">
        <v>358</v>
      </c>
      <c r="J185" s="721" t="s">
        <v>297</v>
      </c>
      <c r="K185" s="725"/>
      <c r="L185" s="723" t="s">
        <v>360</v>
      </c>
      <c r="M185" s="723" t="s">
        <v>366</v>
      </c>
      <c r="N185" s="723" t="s">
        <v>360</v>
      </c>
      <c r="O185" s="723" t="s">
        <v>368</v>
      </c>
      <c r="P185" s="723" t="s">
        <v>288</v>
      </c>
      <c r="Q185" s="727"/>
    </row>
    <row r="186" spans="2:17" ht="13.5" thickBot="1">
      <c r="B186" s="330"/>
      <c r="C186" s="728" t="s">
        <v>179</v>
      </c>
      <c r="D186" s="729" t="s">
        <v>180</v>
      </c>
      <c r="E186" s="728" t="s">
        <v>38</v>
      </c>
      <c r="F186" s="729" t="s">
        <v>180</v>
      </c>
      <c r="G186" s="729" t="s">
        <v>180</v>
      </c>
      <c r="H186" s="730" t="s">
        <v>300</v>
      </c>
      <c r="I186" s="731" t="s">
        <v>302</v>
      </c>
      <c r="J186" s="732" t="s">
        <v>391</v>
      </c>
      <c r="K186" s="733"/>
      <c r="L186" s="730" t="s">
        <v>289</v>
      </c>
      <c r="M186" s="730" t="s">
        <v>289</v>
      </c>
      <c r="N186" s="730" t="s">
        <v>469</v>
      </c>
      <c r="O186" s="730" t="s">
        <v>469</v>
      </c>
      <c r="P186" s="730" t="s">
        <v>469</v>
      </c>
      <c r="Q186" s="592"/>
    </row>
    <row r="187" spans="2:17" ht="12.75">
      <c r="B187" s="330"/>
      <c r="C187" s="735">
        <f>IF(D181="","-",D181)</f>
        <v>2013</v>
      </c>
      <c r="D187" s="679">
        <f>+D180</f>
        <v>585981</v>
      </c>
      <c r="E187" s="1259">
        <f>+J184/12*(12-D182)</f>
        <v>5051.560344827586</v>
      </c>
      <c r="F187" s="781">
        <f aca="true" t="shared" si="16" ref="F187:F246">+D187-E187</f>
        <v>580929.4396551724</v>
      </c>
      <c r="G187" s="679">
        <f aca="true" t="shared" si="17" ref="G187:G246">+(D187+F187)/2</f>
        <v>583455.2198275862</v>
      </c>
      <c r="H187" s="737">
        <f>+J182*G187+E187</f>
        <v>80089.03408297399</v>
      </c>
      <c r="I187" s="738">
        <f>+J183*G187+E187</f>
        <v>80089.03408297399</v>
      </c>
      <c r="J187" s="739">
        <f aca="true" t="shared" si="18" ref="J187:J246">+I187-H187</f>
        <v>0</v>
      </c>
      <c r="K187" s="739"/>
      <c r="L187" s="1255">
        <v>92625</v>
      </c>
      <c r="M187" s="782">
        <f aca="true" t="shared" si="19" ref="M187:M246">IF(L187&lt;&gt;0,+H187-L187,0)</f>
        <v>-12535.965917026013</v>
      </c>
      <c r="N187" s="1255">
        <v>92625</v>
      </c>
      <c r="O187" s="782">
        <f aca="true" t="shared" si="20" ref="O187:O246">IF(N187&lt;&gt;0,+I187-N187,0)</f>
        <v>-12535.965917026013</v>
      </c>
      <c r="P187" s="782">
        <f aca="true" t="shared" si="21" ref="P187:P246">+O187-M187</f>
        <v>0</v>
      </c>
      <c r="Q187" s="680"/>
    </row>
    <row r="188" spans="2:17" ht="12.75">
      <c r="B188" s="330"/>
      <c r="C188" s="735">
        <f>IF(D181="","-",+C187+1)</f>
        <v>2014</v>
      </c>
      <c r="D188" s="679">
        <f aca="true" t="shared" si="22" ref="D188:D246">F187</f>
        <v>580929.4396551724</v>
      </c>
      <c r="E188" s="741">
        <f>IF(D188&gt;$J$184,$J$184,D188)</f>
        <v>10103.120689655172</v>
      </c>
      <c r="F188" s="741">
        <f t="shared" si="16"/>
        <v>570826.3189655172</v>
      </c>
      <c r="G188" s="679">
        <f t="shared" si="17"/>
        <v>575877.8793103448</v>
      </c>
      <c r="H188" s="736">
        <f>+J182*G188+E188</f>
        <v>84166.08178185162</v>
      </c>
      <c r="I188" s="742">
        <f>+J183*G188+E188</f>
        <v>84166.08178185162</v>
      </c>
      <c r="J188" s="739">
        <f t="shared" si="18"/>
        <v>0</v>
      </c>
      <c r="K188" s="739"/>
      <c r="L188" s="1276">
        <v>87393</v>
      </c>
      <c r="M188" s="739">
        <f t="shared" si="19"/>
        <v>-3226.9182181483775</v>
      </c>
      <c r="N188" s="1276">
        <v>87393</v>
      </c>
      <c r="O188" s="739">
        <f t="shared" si="20"/>
        <v>-3226.9182181483775</v>
      </c>
      <c r="P188" s="739">
        <f t="shared" si="21"/>
        <v>0</v>
      </c>
      <c r="Q188" s="680"/>
    </row>
    <row r="189" spans="2:17" ht="12.75">
      <c r="B189" s="330"/>
      <c r="C189" s="735">
        <f>IF(D181="","-",+C188+1)</f>
        <v>2015</v>
      </c>
      <c r="D189" s="679">
        <f t="shared" si="22"/>
        <v>570826.3189655172</v>
      </c>
      <c r="E189" s="741">
        <f aca="true" t="shared" si="23" ref="E189:E246">IF(D189&gt;$J$184,$J$184,D189)</f>
        <v>10103.120689655172</v>
      </c>
      <c r="F189" s="741">
        <f t="shared" si="16"/>
        <v>560723.198275862</v>
      </c>
      <c r="G189" s="679">
        <f t="shared" si="17"/>
        <v>565774.7586206896</v>
      </c>
      <c r="H189" s="736">
        <f>+J182*G189+E189</f>
        <v>82866.73158725168</v>
      </c>
      <c r="I189" s="742">
        <f>+J183*G189+E189</f>
        <v>82866.73158725168</v>
      </c>
      <c r="J189" s="739">
        <f t="shared" si="18"/>
        <v>0</v>
      </c>
      <c r="K189" s="739"/>
      <c r="L189" s="1276">
        <v>87463</v>
      </c>
      <c r="M189" s="739">
        <f t="shared" si="19"/>
        <v>-4596.268412748323</v>
      </c>
      <c r="N189" s="1276">
        <v>87463</v>
      </c>
      <c r="O189" s="739">
        <f t="shared" si="20"/>
        <v>-4596.268412748323</v>
      </c>
      <c r="P189" s="739">
        <f t="shared" si="21"/>
        <v>0</v>
      </c>
      <c r="Q189" s="680"/>
    </row>
    <row r="190" spans="2:17" ht="12.75">
      <c r="B190" s="330"/>
      <c r="C190" s="735">
        <f>IF(D181="","-",+C189+1)</f>
        <v>2016</v>
      </c>
      <c r="D190" s="679">
        <f t="shared" si="22"/>
        <v>560723.198275862</v>
      </c>
      <c r="E190" s="741">
        <f t="shared" si="23"/>
        <v>10103.120689655172</v>
      </c>
      <c r="F190" s="741">
        <f t="shared" si="16"/>
        <v>550620.0775862068</v>
      </c>
      <c r="G190" s="679">
        <f t="shared" si="17"/>
        <v>555671.6379310344</v>
      </c>
      <c r="H190" s="736">
        <f>+J182*G190+E190</f>
        <v>81567.38139265175</v>
      </c>
      <c r="I190" s="742">
        <f>+J183*G190+E190</f>
        <v>81567.38139265175</v>
      </c>
      <c r="J190" s="739">
        <f t="shared" si="18"/>
        <v>0</v>
      </c>
      <c r="K190" s="739"/>
      <c r="L190" s="1256">
        <v>85936</v>
      </c>
      <c r="M190" s="739">
        <f t="shared" si="19"/>
        <v>-4368.618607348253</v>
      </c>
      <c r="N190" s="1256">
        <v>85936</v>
      </c>
      <c r="O190" s="739">
        <f t="shared" si="20"/>
        <v>-4368.618607348253</v>
      </c>
      <c r="P190" s="739">
        <f t="shared" si="21"/>
        <v>0</v>
      </c>
      <c r="Q190" s="680"/>
    </row>
    <row r="191" spans="2:17" ht="12.75">
      <c r="B191" s="330"/>
      <c r="C191" s="1229">
        <f>IF(D181="","-",+C190+1)</f>
        <v>2017</v>
      </c>
      <c r="D191" s="679">
        <f t="shared" si="22"/>
        <v>550620.0775862068</v>
      </c>
      <c r="E191" s="741">
        <f t="shared" si="23"/>
        <v>10103.120689655172</v>
      </c>
      <c r="F191" s="741">
        <f t="shared" si="16"/>
        <v>540516.9568965517</v>
      </c>
      <c r="G191" s="679">
        <f t="shared" si="17"/>
        <v>545568.5172413792</v>
      </c>
      <c r="H191" s="736">
        <f>+J182*G191+E191</f>
        <v>80268.0311980518</v>
      </c>
      <c r="I191" s="742">
        <f>+J183*G191+E191</f>
        <v>80268.0311980518</v>
      </c>
      <c r="J191" s="739">
        <f t="shared" si="18"/>
        <v>0</v>
      </c>
      <c r="K191" s="739"/>
      <c r="L191" s="1256">
        <v>77494</v>
      </c>
      <c r="M191" s="739">
        <f t="shared" si="19"/>
        <v>2774.0311980518018</v>
      </c>
      <c r="N191" s="1256">
        <v>77494</v>
      </c>
      <c r="O191" s="739">
        <f t="shared" si="20"/>
        <v>2774.0311980518018</v>
      </c>
      <c r="P191" s="739">
        <f t="shared" si="21"/>
        <v>0</v>
      </c>
      <c r="Q191" s="680"/>
    </row>
    <row r="192" spans="2:17" ht="12.75">
      <c r="B192" s="330"/>
      <c r="C192" s="735">
        <f>IF(D181="","-",+C191+1)</f>
        <v>2018</v>
      </c>
      <c r="D192" s="679">
        <f t="shared" si="22"/>
        <v>540516.9568965517</v>
      </c>
      <c r="E192" s="741">
        <f t="shared" si="23"/>
        <v>10103.120689655172</v>
      </c>
      <c r="F192" s="741">
        <f t="shared" si="16"/>
        <v>530413.8362068965</v>
      </c>
      <c r="G192" s="679">
        <f t="shared" si="17"/>
        <v>535465.396551724</v>
      </c>
      <c r="H192" s="736">
        <f>+J182*G192+E192</f>
        <v>78968.68100345186</v>
      </c>
      <c r="I192" s="742">
        <f>+J183*G192+E192</f>
        <v>78968.68100345186</v>
      </c>
      <c r="J192" s="739">
        <f t="shared" si="18"/>
        <v>0</v>
      </c>
      <c r="K192" s="739"/>
      <c r="L192" s="1256"/>
      <c r="M192" s="739">
        <f t="shared" si="19"/>
        <v>0</v>
      </c>
      <c r="N192" s="1256"/>
      <c r="O192" s="739">
        <f t="shared" si="20"/>
        <v>0</v>
      </c>
      <c r="P192" s="739">
        <f t="shared" si="21"/>
        <v>0</v>
      </c>
      <c r="Q192" s="680"/>
    </row>
    <row r="193" spans="2:17" ht="12.75">
      <c r="B193" s="330"/>
      <c r="C193" s="1258">
        <f>IF(D181="","-",+C192+1)</f>
        <v>2019</v>
      </c>
      <c r="D193" s="679">
        <f t="shared" si="22"/>
        <v>530413.8362068965</v>
      </c>
      <c r="E193" s="741">
        <f t="shared" si="23"/>
        <v>10103.120689655172</v>
      </c>
      <c r="F193" s="741">
        <f t="shared" si="16"/>
        <v>520310.7155172413</v>
      </c>
      <c r="G193" s="679">
        <f t="shared" si="17"/>
        <v>525362.2758620689</v>
      </c>
      <c r="H193" s="736">
        <f>+J182*G193+E193</f>
        <v>77669.33080885193</v>
      </c>
      <c r="I193" s="742">
        <f>+J183*G193+E193</f>
        <v>77669.33080885193</v>
      </c>
      <c r="J193" s="739">
        <f t="shared" si="18"/>
        <v>0</v>
      </c>
      <c r="K193" s="739"/>
      <c r="L193" s="1256"/>
      <c r="M193" s="739">
        <f t="shared" si="19"/>
        <v>0</v>
      </c>
      <c r="N193" s="1256"/>
      <c r="O193" s="739">
        <f t="shared" si="20"/>
        <v>0</v>
      </c>
      <c r="P193" s="739">
        <f t="shared" si="21"/>
        <v>0</v>
      </c>
      <c r="Q193" s="680"/>
    </row>
    <row r="194" spans="2:17" ht="12.75">
      <c r="B194" s="330"/>
      <c r="C194" s="735">
        <f>IF(D181="","-",+C193+1)</f>
        <v>2020</v>
      </c>
      <c r="D194" s="679">
        <f t="shared" si="22"/>
        <v>520310.7155172413</v>
      </c>
      <c r="E194" s="741">
        <f t="shared" si="23"/>
        <v>10103.120689655172</v>
      </c>
      <c r="F194" s="741">
        <f t="shared" si="16"/>
        <v>510207.5948275861</v>
      </c>
      <c r="G194" s="679">
        <f t="shared" si="17"/>
        <v>515259.1551724137</v>
      </c>
      <c r="H194" s="736">
        <f>+J182*G194+E194</f>
        <v>76369.98061425198</v>
      </c>
      <c r="I194" s="742">
        <f>+J183*G194+E194</f>
        <v>76369.98061425198</v>
      </c>
      <c r="J194" s="739">
        <f t="shared" si="18"/>
        <v>0</v>
      </c>
      <c r="K194" s="739"/>
      <c r="L194" s="1256"/>
      <c r="M194" s="739">
        <f t="shared" si="19"/>
        <v>0</v>
      </c>
      <c r="N194" s="1256"/>
      <c r="O194" s="739">
        <f t="shared" si="20"/>
        <v>0</v>
      </c>
      <c r="P194" s="739">
        <f t="shared" si="21"/>
        <v>0</v>
      </c>
      <c r="Q194" s="680"/>
    </row>
    <row r="195" spans="2:17" ht="12.75">
      <c r="B195" s="330"/>
      <c r="C195" s="735">
        <f>IF(D181="","-",+C194+1)</f>
        <v>2021</v>
      </c>
      <c r="D195" s="679">
        <f t="shared" si="22"/>
        <v>510207.5948275861</v>
      </c>
      <c r="E195" s="741">
        <f t="shared" si="23"/>
        <v>10103.120689655172</v>
      </c>
      <c r="F195" s="741">
        <f t="shared" si="16"/>
        <v>500104.4741379309</v>
      </c>
      <c r="G195" s="679">
        <f t="shared" si="17"/>
        <v>505156.0344827585</v>
      </c>
      <c r="H195" s="736">
        <f>+J182*G195+E195</f>
        <v>75070.63041965204</v>
      </c>
      <c r="I195" s="742">
        <f>+J183*G195+E195</f>
        <v>75070.63041965204</v>
      </c>
      <c r="J195" s="739">
        <f t="shared" si="18"/>
        <v>0</v>
      </c>
      <c r="K195" s="739"/>
      <c r="L195" s="1256"/>
      <c r="M195" s="739">
        <f t="shared" si="19"/>
        <v>0</v>
      </c>
      <c r="N195" s="1256"/>
      <c r="O195" s="739">
        <f t="shared" si="20"/>
        <v>0</v>
      </c>
      <c r="P195" s="739">
        <f t="shared" si="21"/>
        <v>0</v>
      </c>
      <c r="Q195" s="680"/>
    </row>
    <row r="196" spans="2:17" ht="12.75">
      <c r="B196" s="330"/>
      <c r="C196" s="1258">
        <f>IF(D181="","-",+C195+1)</f>
        <v>2022</v>
      </c>
      <c r="D196" s="679">
        <f t="shared" si="22"/>
        <v>500104.4741379309</v>
      </c>
      <c r="E196" s="741">
        <f t="shared" si="23"/>
        <v>10103.120689655172</v>
      </c>
      <c r="F196" s="741">
        <f t="shared" si="16"/>
        <v>490001.3534482757</v>
      </c>
      <c r="G196" s="679">
        <f t="shared" si="17"/>
        <v>495052.9137931033</v>
      </c>
      <c r="H196" s="736">
        <f>+J182*G196+E196</f>
        <v>73771.2802250521</v>
      </c>
      <c r="I196" s="742">
        <f>+J183*G196+E196</f>
        <v>73771.2802250521</v>
      </c>
      <c r="J196" s="739">
        <f t="shared" si="18"/>
        <v>0</v>
      </c>
      <c r="K196" s="739"/>
      <c r="L196" s="1256"/>
      <c r="M196" s="739">
        <f t="shared" si="19"/>
        <v>0</v>
      </c>
      <c r="N196" s="1256"/>
      <c r="O196" s="739">
        <f t="shared" si="20"/>
        <v>0</v>
      </c>
      <c r="P196" s="739">
        <f t="shared" si="21"/>
        <v>0</v>
      </c>
      <c r="Q196" s="680"/>
    </row>
    <row r="197" spans="2:17" ht="12.75">
      <c r="B197" s="330"/>
      <c r="C197" s="735">
        <f>IF(D181="","-",+C196+1)</f>
        <v>2023</v>
      </c>
      <c r="D197" s="679">
        <f t="shared" si="22"/>
        <v>490001.3534482757</v>
      </c>
      <c r="E197" s="741">
        <f t="shared" si="23"/>
        <v>10103.120689655172</v>
      </c>
      <c r="F197" s="741">
        <f t="shared" si="16"/>
        <v>479898.2327586205</v>
      </c>
      <c r="G197" s="679">
        <f t="shared" si="17"/>
        <v>484949.7931034481</v>
      </c>
      <c r="H197" s="736">
        <f>+J182*G197+E197</f>
        <v>72471.93003045216</v>
      </c>
      <c r="I197" s="742">
        <f>+J183*G197+E197</f>
        <v>72471.93003045216</v>
      </c>
      <c r="J197" s="739">
        <f t="shared" si="18"/>
        <v>0</v>
      </c>
      <c r="K197" s="739"/>
      <c r="L197" s="743"/>
      <c r="M197" s="739">
        <f t="shared" si="19"/>
        <v>0</v>
      </c>
      <c r="N197" s="743"/>
      <c r="O197" s="739">
        <f t="shared" si="20"/>
        <v>0</v>
      </c>
      <c r="P197" s="739">
        <f t="shared" si="21"/>
        <v>0</v>
      </c>
      <c r="Q197" s="680"/>
    </row>
    <row r="198" spans="2:17" ht="12.75">
      <c r="B198" s="330"/>
      <c r="C198" s="735">
        <f>IF(D181="","-",+C197+1)</f>
        <v>2024</v>
      </c>
      <c r="D198" s="679">
        <f t="shared" si="22"/>
        <v>479898.2327586205</v>
      </c>
      <c r="E198" s="741">
        <f t="shared" si="23"/>
        <v>10103.120689655172</v>
      </c>
      <c r="F198" s="741">
        <f t="shared" si="16"/>
        <v>469795.11206896533</v>
      </c>
      <c r="G198" s="679">
        <f t="shared" si="17"/>
        <v>474846.6724137929</v>
      </c>
      <c r="H198" s="736">
        <f>+J182*G198+E198</f>
        <v>71172.57983585222</v>
      </c>
      <c r="I198" s="742">
        <f>+J183*G198+E198</f>
        <v>71172.57983585222</v>
      </c>
      <c r="J198" s="739">
        <f t="shared" si="18"/>
        <v>0</v>
      </c>
      <c r="K198" s="739"/>
      <c r="L198" s="743"/>
      <c r="M198" s="739">
        <f t="shared" si="19"/>
        <v>0</v>
      </c>
      <c r="N198" s="743"/>
      <c r="O198" s="739">
        <f t="shared" si="20"/>
        <v>0</v>
      </c>
      <c r="P198" s="739">
        <f t="shared" si="21"/>
        <v>0</v>
      </c>
      <c r="Q198" s="680"/>
    </row>
    <row r="199" spans="2:17" ht="12.75">
      <c r="B199" s="330"/>
      <c r="C199" s="735">
        <f>IF(D181="","-",+C198+1)</f>
        <v>2025</v>
      </c>
      <c r="D199" s="679">
        <f t="shared" si="22"/>
        <v>469795.11206896533</v>
      </c>
      <c r="E199" s="741">
        <f t="shared" si="23"/>
        <v>10103.120689655172</v>
      </c>
      <c r="F199" s="741">
        <f t="shared" si="16"/>
        <v>459691.99137931014</v>
      </c>
      <c r="G199" s="679">
        <f t="shared" si="17"/>
        <v>464743.55172413774</v>
      </c>
      <c r="H199" s="736">
        <f>+J182*G199+E199</f>
        <v>69873.22964125228</v>
      </c>
      <c r="I199" s="742">
        <f>+J183*G199+E199</f>
        <v>69873.22964125228</v>
      </c>
      <c r="J199" s="739">
        <f t="shared" si="18"/>
        <v>0</v>
      </c>
      <c r="K199" s="739"/>
      <c r="L199" s="743"/>
      <c r="M199" s="739">
        <f t="shared" si="19"/>
        <v>0</v>
      </c>
      <c r="N199" s="743"/>
      <c r="O199" s="739">
        <f t="shared" si="20"/>
        <v>0</v>
      </c>
      <c r="P199" s="739">
        <f t="shared" si="21"/>
        <v>0</v>
      </c>
      <c r="Q199" s="680"/>
    </row>
    <row r="200" spans="2:17" ht="12.75">
      <c r="B200" s="330"/>
      <c r="C200" s="735">
        <f>IF(D181="","-",+C199+1)</f>
        <v>2026</v>
      </c>
      <c r="D200" s="679">
        <f t="shared" si="22"/>
        <v>459691.99137931014</v>
      </c>
      <c r="E200" s="741">
        <f t="shared" si="23"/>
        <v>10103.120689655172</v>
      </c>
      <c r="F200" s="741">
        <f t="shared" si="16"/>
        <v>449588.87068965496</v>
      </c>
      <c r="G200" s="679">
        <f t="shared" si="17"/>
        <v>454640.43103448255</v>
      </c>
      <c r="H200" s="736">
        <f>+J182*G200+E200</f>
        <v>68573.87944665234</v>
      </c>
      <c r="I200" s="742">
        <f>+J183*G200+E200</f>
        <v>68573.87944665234</v>
      </c>
      <c r="J200" s="739">
        <f t="shared" si="18"/>
        <v>0</v>
      </c>
      <c r="K200" s="739"/>
      <c r="L200" s="743"/>
      <c r="M200" s="739">
        <f t="shared" si="19"/>
        <v>0</v>
      </c>
      <c r="N200" s="743"/>
      <c r="O200" s="739">
        <f t="shared" si="20"/>
        <v>0</v>
      </c>
      <c r="P200" s="739">
        <f t="shared" si="21"/>
        <v>0</v>
      </c>
      <c r="Q200" s="680"/>
    </row>
    <row r="201" spans="2:17" ht="12.75">
      <c r="B201" s="330"/>
      <c r="C201" s="735">
        <f>IF(D181="","-",+C200+1)</f>
        <v>2027</v>
      </c>
      <c r="D201" s="679">
        <f t="shared" si="22"/>
        <v>449588.87068965496</v>
      </c>
      <c r="E201" s="741">
        <f t="shared" si="23"/>
        <v>10103.120689655172</v>
      </c>
      <c r="F201" s="741">
        <f t="shared" si="16"/>
        <v>439485.74999999977</v>
      </c>
      <c r="G201" s="679">
        <f t="shared" si="17"/>
        <v>444537.31034482736</v>
      </c>
      <c r="H201" s="736">
        <f>+J182*G201+E201</f>
        <v>67274.52925205241</v>
      </c>
      <c r="I201" s="742">
        <f>+J183*G201+E201</f>
        <v>67274.52925205241</v>
      </c>
      <c r="J201" s="739">
        <f t="shared" si="18"/>
        <v>0</v>
      </c>
      <c r="K201" s="739"/>
      <c r="L201" s="743"/>
      <c r="M201" s="739">
        <f t="shared" si="19"/>
        <v>0</v>
      </c>
      <c r="N201" s="743"/>
      <c r="O201" s="739">
        <f t="shared" si="20"/>
        <v>0</v>
      </c>
      <c r="P201" s="739">
        <f t="shared" si="21"/>
        <v>0</v>
      </c>
      <c r="Q201" s="680"/>
    </row>
    <row r="202" spans="2:17" ht="12.75">
      <c r="B202" s="330"/>
      <c r="C202" s="735">
        <f>IF(D181="","-",+C201+1)</f>
        <v>2028</v>
      </c>
      <c r="D202" s="679">
        <f t="shared" si="22"/>
        <v>439485.74999999977</v>
      </c>
      <c r="E202" s="741">
        <f t="shared" si="23"/>
        <v>10103.120689655172</v>
      </c>
      <c r="F202" s="741">
        <f t="shared" si="16"/>
        <v>429382.6293103446</v>
      </c>
      <c r="G202" s="679">
        <f t="shared" si="17"/>
        <v>434434.1896551722</v>
      </c>
      <c r="H202" s="736">
        <f>+J182*G202+E202</f>
        <v>65975.17905745246</v>
      </c>
      <c r="I202" s="742">
        <f>+J183*G202+E202</f>
        <v>65975.17905745246</v>
      </c>
      <c r="J202" s="739">
        <f t="shared" si="18"/>
        <v>0</v>
      </c>
      <c r="K202" s="739"/>
      <c r="L202" s="743"/>
      <c r="M202" s="739">
        <f t="shared" si="19"/>
        <v>0</v>
      </c>
      <c r="N202" s="743"/>
      <c r="O202" s="739">
        <f t="shared" si="20"/>
        <v>0</v>
      </c>
      <c r="P202" s="739">
        <f t="shared" si="21"/>
        <v>0</v>
      </c>
      <c r="Q202" s="680"/>
    </row>
    <row r="203" spans="2:17" ht="12.75">
      <c r="B203" s="330"/>
      <c r="C203" s="735">
        <f>IF(D181="","-",+C202+1)</f>
        <v>2029</v>
      </c>
      <c r="D203" s="679">
        <f t="shared" si="22"/>
        <v>429382.6293103446</v>
      </c>
      <c r="E203" s="741">
        <f t="shared" si="23"/>
        <v>10103.120689655172</v>
      </c>
      <c r="F203" s="741">
        <f t="shared" si="16"/>
        <v>419279.5086206894</v>
      </c>
      <c r="G203" s="679">
        <f t="shared" si="17"/>
        <v>424331.068965517</v>
      </c>
      <c r="H203" s="736">
        <f>+J182*G203+E203</f>
        <v>64675.828862852526</v>
      </c>
      <c r="I203" s="742">
        <f>+J183*G203+E203</f>
        <v>64675.828862852526</v>
      </c>
      <c r="J203" s="739">
        <f t="shared" si="18"/>
        <v>0</v>
      </c>
      <c r="K203" s="739"/>
      <c r="L203" s="743"/>
      <c r="M203" s="739">
        <f t="shared" si="19"/>
        <v>0</v>
      </c>
      <c r="N203" s="743"/>
      <c r="O203" s="739">
        <f t="shared" si="20"/>
        <v>0</v>
      </c>
      <c r="P203" s="739">
        <f t="shared" si="21"/>
        <v>0</v>
      </c>
      <c r="Q203" s="680"/>
    </row>
    <row r="204" spans="2:17" ht="12.75">
      <c r="B204" s="330"/>
      <c r="C204" s="735">
        <f>IF(D181="","-",+C203+1)</f>
        <v>2030</v>
      </c>
      <c r="D204" s="679">
        <f t="shared" si="22"/>
        <v>419279.5086206894</v>
      </c>
      <c r="E204" s="741">
        <f t="shared" si="23"/>
        <v>10103.120689655172</v>
      </c>
      <c r="F204" s="741">
        <f t="shared" si="16"/>
        <v>409176.3879310342</v>
      </c>
      <c r="G204" s="679">
        <f t="shared" si="17"/>
        <v>414227.9482758618</v>
      </c>
      <c r="H204" s="736">
        <f>+J182*G204+E204</f>
        <v>63376.47866825259</v>
      </c>
      <c r="I204" s="742">
        <f>+J183*G204+E204</f>
        <v>63376.47866825259</v>
      </c>
      <c r="J204" s="739">
        <f t="shared" si="18"/>
        <v>0</v>
      </c>
      <c r="K204" s="739"/>
      <c r="L204" s="743"/>
      <c r="M204" s="739">
        <f t="shared" si="19"/>
        <v>0</v>
      </c>
      <c r="N204" s="743"/>
      <c r="O204" s="739">
        <f t="shared" si="20"/>
        <v>0</v>
      </c>
      <c r="P204" s="739">
        <f t="shared" si="21"/>
        <v>0</v>
      </c>
      <c r="Q204" s="680"/>
    </row>
    <row r="205" spans="2:17" ht="12.75">
      <c r="B205" s="330"/>
      <c r="C205" s="735">
        <f>IF(D181="","-",+C204+1)</f>
        <v>2031</v>
      </c>
      <c r="D205" s="679">
        <f t="shared" si="22"/>
        <v>409176.3879310342</v>
      </c>
      <c r="E205" s="741">
        <f t="shared" si="23"/>
        <v>10103.120689655172</v>
      </c>
      <c r="F205" s="741">
        <f t="shared" si="16"/>
        <v>399073.267241379</v>
      </c>
      <c r="G205" s="679">
        <f t="shared" si="17"/>
        <v>404124.8275862066</v>
      </c>
      <c r="H205" s="736">
        <f>+J182*G205+E205</f>
        <v>62077.12847365264</v>
      </c>
      <c r="I205" s="742">
        <f>+J183*G205+E205</f>
        <v>62077.12847365264</v>
      </c>
      <c r="J205" s="739">
        <f t="shared" si="18"/>
        <v>0</v>
      </c>
      <c r="K205" s="739"/>
      <c r="L205" s="743"/>
      <c r="M205" s="739">
        <f t="shared" si="19"/>
        <v>0</v>
      </c>
      <c r="N205" s="743"/>
      <c r="O205" s="739">
        <f t="shared" si="20"/>
        <v>0</v>
      </c>
      <c r="P205" s="739">
        <f t="shared" si="21"/>
        <v>0</v>
      </c>
      <c r="Q205" s="680"/>
    </row>
    <row r="206" spans="2:17" ht="12.75">
      <c r="B206" s="330"/>
      <c r="C206" s="735">
        <f>IF(D181="","-",+C205+1)</f>
        <v>2032</v>
      </c>
      <c r="D206" s="679">
        <f t="shared" si="22"/>
        <v>399073.267241379</v>
      </c>
      <c r="E206" s="741">
        <f t="shared" si="23"/>
        <v>10103.120689655172</v>
      </c>
      <c r="F206" s="741">
        <f t="shared" si="16"/>
        <v>388970.1465517238</v>
      </c>
      <c r="G206" s="679">
        <f t="shared" si="17"/>
        <v>394021.7068965514</v>
      </c>
      <c r="H206" s="736">
        <f>+J182*G206+E206</f>
        <v>60777.778279052705</v>
      </c>
      <c r="I206" s="742">
        <f>+J183*G206+E206</f>
        <v>60777.778279052705</v>
      </c>
      <c r="J206" s="739">
        <f t="shared" si="18"/>
        <v>0</v>
      </c>
      <c r="K206" s="739"/>
      <c r="L206" s="743"/>
      <c r="M206" s="739">
        <f t="shared" si="19"/>
        <v>0</v>
      </c>
      <c r="N206" s="743"/>
      <c r="O206" s="739">
        <f t="shared" si="20"/>
        <v>0</v>
      </c>
      <c r="P206" s="739">
        <f t="shared" si="21"/>
        <v>0</v>
      </c>
      <c r="Q206" s="680"/>
    </row>
    <row r="207" spans="2:17" ht="12.75">
      <c r="B207" s="330"/>
      <c r="C207" s="735">
        <f>IF(D181="","-",+C206+1)</f>
        <v>2033</v>
      </c>
      <c r="D207" s="679">
        <f t="shared" si="22"/>
        <v>388970.1465517238</v>
      </c>
      <c r="E207" s="741">
        <f t="shared" si="23"/>
        <v>10103.120689655172</v>
      </c>
      <c r="F207" s="741">
        <f t="shared" si="16"/>
        <v>378867.02586206864</v>
      </c>
      <c r="G207" s="679">
        <f t="shared" si="17"/>
        <v>383918.58620689623</v>
      </c>
      <c r="H207" s="736">
        <f>+J182*G207+E207</f>
        <v>59478.42808445277</v>
      </c>
      <c r="I207" s="742">
        <f>+J183*G207+E207</f>
        <v>59478.42808445277</v>
      </c>
      <c r="J207" s="739">
        <f t="shared" si="18"/>
        <v>0</v>
      </c>
      <c r="K207" s="739"/>
      <c r="L207" s="743"/>
      <c r="M207" s="739">
        <f t="shared" si="19"/>
        <v>0</v>
      </c>
      <c r="N207" s="743"/>
      <c r="O207" s="739">
        <f t="shared" si="20"/>
        <v>0</v>
      </c>
      <c r="P207" s="739">
        <f t="shared" si="21"/>
        <v>0</v>
      </c>
      <c r="Q207" s="680"/>
    </row>
    <row r="208" spans="2:17" ht="12.75">
      <c r="B208" s="330"/>
      <c r="C208" s="735">
        <f>IF(D181="","-",+C207+1)</f>
        <v>2034</v>
      </c>
      <c r="D208" s="679">
        <f t="shared" si="22"/>
        <v>378867.02586206864</v>
      </c>
      <c r="E208" s="741">
        <f t="shared" si="23"/>
        <v>10103.120689655172</v>
      </c>
      <c r="F208" s="741">
        <f t="shared" si="16"/>
        <v>368763.90517241345</v>
      </c>
      <c r="G208" s="679">
        <f t="shared" si="17"/>
        <v>373815.46551724104</v>
      </c>
      <c r="H208" s="736">
        <f>+J182*G208+E208</f>
        <v>58179.07788985283</v>
      </c>
      <c r="I208" s="742">
        <f>+J183*G208+E208</f>
        <v>58179.07788985283</v>
      </c>
      <c r="J208" s="739">
        <f t="shared" si="18"/>
        <v>0</v>
      </c>
      <c r="K208" s="739"/>
      <c r="L208" s="743"/>
      <c r="M208" s="739">
        <f t="shared" si="19"/>
        <v>0</v>
      </c>
      <c r="N208" s="743"/>
      <c r="O208" s="739">
        <f t="shared" si="20"/>
        <v>0</v>
      </c>
      <c r="P208" s="739">
        <f t="shared" si="21"/>
        <v>0</v>
      </c>
      <c r="Q208" s="680"/>
    </row>
    <row r="209" spans="2:17" ht="12.75">
      <c r="B209" s="330"/>
      <c r="C209" s="735">
        <f>IF(D181="","-",+C208+1)</f>
        <v>2035</v>
      </c>
      <c r="D209" s="679">
        <f t="shared" si="22"/>
        <v>368763.90517241345</v>
      </c>
      <c r="E209" s="741">
        <f t="shared" si="23"/>
        <v>10103.120689655172</v>
      </c>
      <c r="F209" s="741">
        <f t="shared" si="16"/>
        <v>358660.78448275826</v>
      </c>
      <c r="G209" s="679">
        <f t="shared" si="17"/>
        <v>363712.34482758585</v>
      </c>
      <c r="H209" s="736">
        <f>+J182*G209+E209</f>
        <v>56879.727695252885</v>
      </c>
      <c r="I209" s="742">
        <f>+J183*G209+E209</f>
        <v>56879.727695252885</v>
      </c>
      <c r="J209" s="739">
        <f t="shared" si="18"/>
        <v>0</v>
      </c>
      <c r="K209" s="739"/>
      <c r="L209" s="743"/>
      <c r="M209" s="739">
        <f t="shared" si="19"/>
        <v>0</v>
      </c>
      <c r="N209" s="743"/>
      <c r="O209" s="739">
        <f t="shared" si="20"/>
        <v>0</v>
      </c>
      <c r="P209" s="739">
        <f t="shared" si="21"/>
        <v>0</v>
      </c>
      <c r="Q209" s="680"/>
    </row>
    <row r="210" spans="2:17" ht="12.75">
      <c r="B210" s="330"/>
      <c r="C210" s="735">
        <f>IF(D181="","-",+C209+1)</f>
        <v>2036</v>
      </c>
      <c r="D210" s="679">
        <f t="shared" si="22"/>
        <v>358660.78448275826</v>
      </c>
      <c r="E210" s="741">
        <f t="shared" si="23"/>
        <v>10103.120689655172</v>
      </c>
      <c r="F210" s="741">
        <f t="shared" si="16"/>
        <v>348557.6637931031</v>
      </c>
      <c r="G210" s="679">
        <f t="shared" si="17"/>
        <v>353609.22413793067</v>
      </c>
      <c r="H210" s="736">
        <f>+J182*G210+E210</f>
        <v>55580.37750065295</v>
      </c>
      <c r="I210" s="742">
        <f>+J183*G210+E210</f>
        <v>55580.37750065295</v>
      </c>
      <c r="J210" s="739">
        <f t="shared" si="18"/>
        <v>0</v>
      </c>
      <c r="K210" s="739"/>
      <c r="L210" s="743"/>
      <c r="M210" s="739">
        <f t="shared" si="19"/>
        <v>0</v>
      </c>
      <c r="N210" s="743"/>
      <c r="O210" s="739">
        <f t="shared" si="20"/>
        <v>0</v>
      </c>
      <c r="P210" s="739">
        <f t="shared" si="21"/>
        <v>0</v>
      </c>
      <c r="Q210" s="680"/>
    </row>
    <row r="211" spans="2:17" ht="12.75">
      <c r="B211" s="330"/>
      <c r="C211" s="735">
        <f>IF(D181="","-",+C210+1)</f>
        <v>2037</v>
      </c>
      <c r="D211" s="679">
        <f t="shared" si="22"/>
        <v>348557.6637931031</v>
      </c>
      <c r="E211" s="741">
        <f t="shared" si="23"/>
        <v>10103.120689655172</v>
      </c>
      <c r="F211" s="741">
        <f t="shared" si="16"/>
        <v>338454.5431034479</v>
      </c>
      <c r="G211" s="679">
        <f t="shared" si="17"/>
        <v>343506.1034482755</v>
      </c>
      <c r="H211" s="736">
        <f>+J182*G211+E211</f>
        <v>54281.02730605301</v>
      </c>
      <c r="I211" s="742">
        <f>+J183*G211+E211</f>
        <v>54281.02730605301</v>
      </c>
      <c r="J211" s="739">
        <f t="shared" si="18"/>
        <v>0</v>
      </c>
      <c r="K211" s="739"/>
      <c r="L211" s="743"/>
      <c r="M211" s="739">
        <f t="shared" si="19"/>
        <v>0</v>
      </c>
      <c r="N211" s="743"/>
      <c r="O211" s="739">
        <f t="shared" si="20"/>
        <v>0</v>
      </c>
      <c r="P211" s="739">
        <f t="shared" si="21"/>
        <v>0</v>
      </c>
      <c r="Q211" s="680"/>
    </row>
    <row r="212" spans="2:17" ht="12.75">
      <c r="B212" s="330"/>
      <c r="C212" s="735">
        <f>IF(D181="","-",+C211+1)</f>
        <v>2038</v>
      </c>
      <c r="D212" s="679">
        <f t="shared" si="22"/>
        <v>338454.5431034479</v>
      </c>
      <c r="E212" s="741">
        <f t="shared" si="23"/>
        <v>10103.120689655172</v>
      </c>
      <c r="F212" s="741">
        <f t="shared" si="16"/>
        <v>328351.4224137927</v>
      </c>
      <c r="G212" s="679">
        <f t="shared" si="17"/>
        <v>333402.9827586203</v>
      </c>
      <c r="H212" s="736">
        <f>+J182*G212+E212</f>
        <v>52981.67711145307</v>
      </c>
      <c r="I212" s="742">
        <f>+J183*G212+E212</f>
        <v>52981.67711145307</v>
      </c>
      <c r="J212" s="739">
        <f t="shared" si="18"/>
        <v>0</v>
      </c>
      <c r="K212" s="739"/>
      <c r="L212" s="743"/>
      <c r="M212" s="739">
        <f t="shared" si="19"/>
        <v>0</v>
      </c>
      <c r="N212" s="743"/>
      <c r="O212" s="739">
        <f t="shared" si="20"/>
        <v>0</v>
      </c>
      <c r="P212" s="739">
        <f t="shared" si="21"/>
        <v>0</v>
      </c>
      <c r="Q212" s="680"/>
    </row>
    <row r="213" spans="2:17" ht="12.75">
      <c r="B213" s="330"/>
      <c r="C213" s="735">
        <f>IF(D181="","-",+C212+1)</f>
        <v>2039</v>
      </c>
      <c r="D213" s="679">
        <f t="shared" si="22"/>
        <v>328351.4224137927</v>
      </c>
      <c r="E213" s="741">
        <f t="shared" si="23"/>
        <v>10103.120689655172</v>
      </c>
      <c r="F213" s="741">
        <f t="shared" si="16"/>
        <v>318248.3017241375</v>
      </c>
      <c r="G213" s="679">
        <f t="shared" si="17"/>
        <v>323299.8620689651</v>
      </c>
      <c r="H213" s="736">
        <f>+J182*G213+E213</f>
        <v>51682.326916853126</v>
      </c>
      <c r="I213" s="742">
        <f>+J183*G213+E213</f>
        <v>51682.326916853126</v>
      </c>
      <c r="J213" s="739">
        <f t="shared" si="18"/>
        <v>0</v>
      </c>
      <c r="K213" s="739"/>
      <c r="L213" s="743"/>
      <c r="M213" s="739">
        <f t="shared" si="19"/>
        <v>0</v>
      </c>
      <c r="N213" s="743"/>
      <c r="O213" s="739">
        <f t="shared" si="20"/>
        <v>0</v>
      </c>
      <c r="P213" s="739">
        <f t="shared" si="21"/>
        <v>0</v>
      </c>
      <c r="Q213" s="680"/>
    </row>
    <row r="214" spans="2:17" ht="12.75">
      <c r="B214" s="330"/>
      <c r="C214" s="735">
        <f>IF(D181="","-",+C213+1)</f>
        <v>2040</v>
      </c>
      <c r="D214" s="679">
        <f t="shared" si="22"/>
        <v>318248.3017241375</v>
      </c>
      <c r="E214" s="741">
        <f t="shared" si="23"/>
        <v>10103.120689655172</v>
      </c>
      <c r="F214" s="741">
        <f t="shared" si="16"/>
        <v>308145.1810344823</v>
      </c>
      <c r="G214" s="679">
        <f t="shared" si="17"/>
        <v>313196.7413793099</v>
      </c>
      <c r="H214" s="736">
        <f>+J182*G214+E214</f>
        <v>50382.97672225319</v>
      </c>
      <c r="I214" s="742">
        <f>+J183*G214+E214</f>
        <v>50382.97672225319</v>
      </c>
      <c r="J214" s="739">
        <f t="shared" si="18"/>
        <v>0</v>
      </c>
      <c r="K214" s="739"/>
      <c r="L214" s="743"/>
      <c r="M214" s="739">
        <f t="shared" si="19"/>
        <v>0</v>
      </c>
      <c r="N214" s="743"/>
      <c r="O214" s="739">
        <f t="shared" si="20"/>
        <v>0</v>
      </c>
      <c r="P214" s="739">
        <f t="shared" si="21"/>
        <v>0</v>
      </c>
      <c r="Q214" s="680"/>
    </row>
    <row r="215" spans="2:17" ht="12.75">
      <c r="B215" s="330"/>
      <c r="C215" s="735">
        <f>IF(D181="","-",+C214+1)</f>
        <v>2041</v>
      </c>
      <c r="D215" s="679">
        <f t="shared" si="22"/>
        <v>308145.1810344823</v>
      </c>
      <c r="E215" s="741">
        <f t="shared" si="23"/>
        <v>10103.120689655172</v>
      </c>
      <c r="F215" s="741">
        <f t="shared" si="16"/>
        <v>298042.0603448271</v>
      </c>
      <c r="G215" s="679">
        <f t="shared" si="17"/>
        <v>303093.6206896547</v>
      </c>
      <c r="H215" s="736">
        <f>+J182*G215+E215</f>
        <v>49083.62652765325</v>
      </c>
      <c r="I215" s="742">
        <f>+J183*G215+E215</f>
        <v>49083.62652765325</v>
      </c>
      <c r="J215" s="739">
        <f t="shared" si="18"/>
        <v>0</v>
      </c>
      <c r="K215" s="739"/>
      <c r="L215" s="743"/>
      <c r="M215" s="739">
        <f t="shared" si="19"/>
        <v>0</v>
      </c>
      <c r="N215" s="743"/>
      <c r="O215" s="739">
        <f t="shared" si="20"/>
        <v>0</v>
      </c>
      <c r="P215" s="739">
        <f t="shared" si="21"/>
        <v>0</v>
      </c>
      <c r="Q215" s="680"/>
    </row>
    <row r="216" spans="2:17" ht="12.75">
      <c r="B216" s="330"/>
      <c r="C216" s="735">
        <f>IF(D181="","-",+C215+1)</f>
        <v>2042</v>
      </c>
      <c r="D216" s="679">
        <f t="shared" si="22"/>
        <v>298042.0603448271</v>
      </c>
      <c r="E216" s="741">
        <f t="shared" si="23"/>
        <v>10103.120689655172</v>
      </c>
      <c r="F216" s="741">
        <f t="shared" si="16"/>
        <v>287938.93965517194</v>
      </c>
      <c r="G216" s="679">
        <f t="shared" si="17"/>
        <v>292990.49999999953</v>
      </c>
      <c r="H216" s="736">
        <f>+J182*G216+E216</f>
        <v>47784.276333053305</v>
      </c>
      <c r="I216" s="742">
        <f>+J183*G216+E216</f>
        <v>47784.276333053305</v>
      </c>
      <c r="J216" s="739">
        <f t="shared" si="18"/>
        <v>0</v>
      </c>
      <c r="K216" s="739"/>
      <c r="L216" s="743"/>
      <c r="M216" s="739">
        <f t="shared" si="19"/>
        <v>0</v>
      </c>
      <c r="N216" s="743"/>
      <c r="O216" s="739">
        <f t="shared" si="20"/>
        <v>0</v>
      </c>
      <c r="P216" s="739">
        <f t="shared" si="21"/>
        <v>0</v>
      </c>
      <c r="Q216" s="680"/>
    </row>
    <row r="217" spans="2:17" ht="12.75">
      <c r="B217" s="330"/>
      <c r="C217" s="735">
        <f>IF(D181="","-",+C216+1)</f>
        <v>2043</v>
      </c>
      <c r="D217" s="679">
        <f t="shared" si="22"/>
        <v>287938.93965517194</v>
      </c>
      <c r="E217" s="741">
        <f t="shared" si="23"/>
        <v>10103.120689655172</v>
      </c>
      <c r="F217" s="741">
        <f t="shared" si="16"/>
        <v>277835.81896551675</v>
      </c>
      <c r="G217" s="679">
        <f t="shared" si="17"/>
        <v>282887.37931034435</v>
      </c>
      <c r="H217" s="736">
        <f>+J182*G217+E217</f>
        <v>46484.92613845337</v>
      </c>
      <c r="I217" s="742">
        <f>+J183*G217+E217</f>
        <v>46484.92613845337</v>
      </c>
      <c r="J217" s="739">
        <f t="shared" si="18"/>
        <v>0</v>
      </c>
      <c r="K217" s="739"/>
      <c r="L217" s="743"/>
      <c r="M217" s="739">
        <f t="shared" si="19"/>
        <v>0</v>
      </c>
      <c r="N217" s="743"/>
      <c r="O217" s="739">
        <f t="shared" si="20"/>
        <v>0</v>
      </c>
      <c r="P217" s="739">
        <f t="shared" si="21"/>
        <v>0</v>
      </c>
      <c r="Q217" s="680"/>
    </row>
    <row r="218" spans="2:17" ht="12.75">
      <c r="B218" s="330"/>
      <c r="C218" s="735">
        <f>IF(D181="","-",+C217+1)</f>
        <v>2044</v>
      </c>
      <c r="D218" s="679">
        <f t="shared" si="22"/>
        <v>277835.81896551675</v>
      </c>
      <c r="E218" s="741">
        <f t="shared" si="23"/>
        <v>10103.120689655172</v>
      </c>
      <c r="F218" s="741">
        <f t="shared" si="16"/>
        <v>267732.69827586156</v>
      </c>
      <c r="G218" s="679">
        <f t="shared" si="17"/>
        <v>272784.25862068916</v>
      </c>
      <c r="H218" s="736">
        <f>+J182*G218+E218</f>
        <v>45185.57594385343</v>
      </c>
      <c r="I218" s="742">
        <f>+J183*G218+E218</f>
        <v>45185.57594385343</v>
      </c>
      <c r="J218" s="739">
        <f t="shared" si="18"/>
        <v>0</v>
      </c>
      <c r="K218" s="739"/>
      <c r="L218" s="743"/>
      <c r="M218" s="739">
        <f t="shared" si="19"/>
        <v>0</v>
      </c>
      <c r="N218" s="743"/>
      <c r="O218" s="739">
        <f t="shared" si="20"/>
        <v>0</v>
      </c>
      <c r="P218" s="739">
        <f t="shared" si="21"/>
        <v>0</v>
      </c>
      <c r="Q218" s="680"/>
    </row>
    <row r="219" spans="2:17" ht="12.75">
      <c r="B219" s="330"/>
      <c r="C219" s="735">
        <f>IF(D181="","-",+C218+1)</f>
        <v>2045</v>
      </c>
      <c r="D219" s="679">
        <f t="shared" si="22"/>
        <v>267732.69827586156</v>
      </c>
      <c r="E219" s="741">
        <f t="shared" si="23"/>
        <v>10103.120689655172</v>
      </c>
      <c r="F219" s="741">
        <f t="shared" si="16"/>
        <v>257629.5775862064</v>
      </c>
      <c r="G219" s="679">
        <f t="shared" si="17"/>
        <v>262681.13793103397</v>
      </c>
      <c r="H219" s="736">
        <f>+J182*G219+E219</f>
        <v>43886.22574925349</v>
      </c>
      <c r="I219" s="742">
        <f>+J183*G219+E219</f>
        <v>43886.22574925349</v>
      </c>
      <c r="J219" s="739">
        <f t="shared" si="18"/>
        <v>0</v>
      </c>
      <c r="K219" s="739"/>
      <c r="L219" s="743"/>
      <c r="M219" s="739">
        <f t="shared" si="19"/>
        <v>0</v>
      </c>
      <c r="N219" s="743"/>
      <c r="O219" s="739">
        <f t="shared" si="20"/>
        <v>0</v>
      </c>
      <c r="P219" s="739">
        <f t="shared" si="21"/>
        <v>0</v>
      </c>
      <c r="Q219" s="680"/>
    </row>
    <row r="220" spans="2:17" ht="12.75">
      <c r="B220" s="330"/>
      <c r="C220" s="735">
        <f>IF(D181="","-",+C219+1)</f>
        <v>2046</v>
      </c>
      <c r="D220" s="679">
        <f t="shared" si="22"/>
        <v>257629.5775862064</v>
      </c>
      <c r="E220" s="741">
        <f t="shared" si="23"/>
        <v>10103.120689655172</v>
      </c>
      <c r="F220" s="741">
        <f t="shared" si="16"/>
        <v>247526.45689655124</v>
      </c>
      <c r="G220" s="679">
        <f t="shared" si="17"/>
        <v>252578.01724137884</v>
      </c>
      <c r="H220" s="736">
        <f>+J182*G220+E220</f>
        <v>42586.875554653554</v>
      </c>
      <c r="I220" s="742">
        <f>+J183*G220+E220</f>
        <v>42586.875554653554</v>
      </c>
      <c r="J220" s="739">
        <f t="shared" si="18"/>
        <v>0</v>
      </c>
      <c r="K220" s="739"/>
      <c r="L220" s="743"/>
      <c r="M220" s="739">
        <f t="shared" si="19"/>
        <v>0</v>
      </c>
      <c r="N220" s="743"/>
      <c r="O220" s="739">
        <f t="shared" si="20"/>
        <v>0</v>
      </c>
      <c r="P220" s="739">
        <f t="shared" si="21"/>
        <v>0</v>
      </c>
      <c r="Q220" s="680"/>
    </row>
    <row r="221" spans="2:17" ht="12.75">
      <c r="B221" s="330"/>
      <c r="C221" s="735">
        <f>IF(D181="","-",+C220+1)</f>
        <v>2047</v>
      </c>
      <c r="D221" s="679">
        <f t="shared" si="22"/>
        <v>247526.45689655124</v>
      </c>
      <c r="E221" s="741">
        <f t="shared" si="23"/>
        <v>10103.120689655172</v>
      </c>
      <c r="F221" s="741">
        <f t="shared" si="16"/>
        <v>237423.33620689609</v>
      </c>
      <c r="G221" s="679">
        <f t="shared" si="17"/>
        <v>242474.89655172365</v>
      </c>
      <c r="H221" s="736">
        <f>+J182*G221+E221</f>
        <v>41287.525360053616</v>
      </c>
      <c r="I221" s="742">
        <f>+J183*G221+E221</f>
        <v>41287.525360053616</v>
      </c>
      <c r="J221" s="739">
        <f t="shared" si="18"/>
        <v>0</v>
      </c>
      <c r="K221" s="739"/>
      <c r="L221" s="743"/>
      <c r="M221" s="739">
        <f t="shared" si="19"/>
        <v>0</v>
      </c>
      <c r="N221" s="743"/>
      <c r="O221" s="739">
        <f t="shared" si="20"/>
        <v>0</v>
      </c>
      <c r="P221" s="739">
        <f t="shared" si="21"/>
        <v>0</v>
      </c>
      <c r="Q221" s="680"/>
    </row>
    <row r="222" spans="2:17" ht="12.75">
      <c r="B222" s="330"/>
      <c r="C222" s="735">
        <f>IF(D181="","-",+C221+1)</f>
        <v>2048</v>
      </c>
      <c r="D222" s="679">
        <f t="shared" si="22"/>
        <v>237423.33620689609</v>
      </c>
      <c r="E222" s="741">
        <f t="shared" si="23"/>
        <v>10103.120689655172</v>
      </c>
      <c r="F222" s="741">
        <f t="shared" si="16"/>
        <v>227320.21551724093</v>
      </c>
      <c r="G222" s="679">
        <f t="shared" si="17"/>
        <v>232371.77586206852</v>
      </c>
      <c r="H222" s="736">
        <f>+J182*G222+E222</f>
        <v>39988.175165453686</v>
      </c>
      <c r="I222" s="742">
        <f>+J183*G222+E222</f>
        <v>39988.175165453686</v>
      </c>
      <c r="J222" s="739">
        <f t="shared" si="18"/>
        <v>0</v>
      </c>
      <c r="K222" s="739"/>
      <c r="L222" s="743"/>
      <c r="M222" s="739">
        <f t="shared" si="19"/>
        <v>0</v>
      </c>
      <c r="N222" s="743"/>
      <c r="O222" s="739">
        <f t="shared" si="20"/>
        <v>0</v>
      </c>
      <c r="P222" s="739">
        <f t="shared" si="21"/>
        <v>0</v>
      </c>
      <c r="Q222" s="680"/>
    </row>
    <row r="223" spans="2:17" ht="12.75">
      <c r="B223" s="330"/>
      <c r="C223" s="735">
        <f>IF(D181="","-",+C222+1)</f>
        <v>2049</v>
      </c>
      <c r="D223" s="679">
        <f t="shared" si="22"/>
        <v>227320.21551724093</v>
      </c>
      <c r="E223" s="741">
        <f t="shared" si="23"/>
        <v>10103.120689655172</v>
      </c>
      <c r="F223" s="741">
        <f t="shared" si="16"/>
        <v>217217.09482758577</v>
      </c>
      <c r="G223" s="679">
        <f t="shared" si="17"/>
        <v>222268.65517241333</v>
      </c>
      <c r="H223" s="736">
        <f>+J182*G223+E223</f>
        <v>38688.82497085374</v>
      </c>
      <c r="I223" s="742">
        <f>+J183*G223+E223</f>
        <v>38688.82497085374</v>
      </c>
      <c r="J223" s="739">
        <f t="shared" si="18"/>
        <v>0</v>
      </c>
      <c r="K223" s="739"/>
      <c r="L223" s="743"/>
      <c r="M223" s="739">
        <f t="shared" si="19"/>
        <v>0</v>
      </c>
      <c r="N223" s="743"/>
      <c r="O223" s="739">
        <f t="shared" si="20"/>
        <v>0</v>
      </c>
      <c r="P223" s="739">
        <f t="shared" si="21"/>
        <v>0</v>
      </c>
      <c r="Q223" s="680"/>
    </row>
    <row r="224" spans="2:17" ht="12.75">
      <c r="B224" s="330"/>
      <c r="C224" s="735">
        <f>IF(D181="","-",+C223+1)</f>
        <v>2050</v>
      </c>
      <c r="D224" s="679">
        <f t="shared" si="22"/>
        <v>217217.09482758577</v>
      </c>
      <c r="E224" s="741">
        <f t="shared" si="23"/>
        <v>10103.120689655172</v>
      </c>
      <c r="F224" s="741">
        <f t="shared" si="16"/>
        <v>207113.9741379306</v>
      </c>
      <c r="G224" s="679">
        <f t="shared" si="17"/>
        <v>212165.5344827582</v>
      </c>
      <c r="H224" s="736">
        <f>+J182*G224+E224</f>
        <v>37389.47477625381</v>
      </c>
      <c r="I224" s="742">
        <f>+J183*G224+E224</f>
        <v>37389.47477625381</v>
      </c>
      <c r="J224" s="739">
        <f t="shared" si="18"/>
        <v>0</v>
      </c>
      <c r="K224" s="739"/>
      <c r="L224" s="743"/>
      <c r="M224" s="739">
        <f t="shared" si="19"/>
        <v>0</v>
      </c>
      <c r="N224" s="743"/>
      <c r="O224" s="739">
        <f t="shared" si="20"/>
        <v>0</v>
      </c>
      <c r="P224" s="739">
        <f t="shared" si="21"/>
        <v>0</v>
      </c>
      <c r="Q224" s="680"/>
    </row>
    <row r="225" spans="2:17" ht="12.75">
      <c r="B225" s="330"/>
      <c r="C225" s="735">
        <f>IF(D181="","-",+C224+1)</f>
        <v>2051</v>
      </c>
      <c r="D225" s="679">
        <f t="shared" si="22"/>
        <v>207113.9741379306</v>
      </c>
      <c r="E225" s="741">
        <f t="shared" si="23"/>
        <v>10103.120689655172</v>
      </c>
      <c r="F225" s="741">
        <f t="shared" si="16"/>
        <v>197010.85344827545</v>
      </c>
      <c r="G225" s="679">
        <f t="shared" si="17"/>
        <v>202062.413793103</v>
      </c>
      <c r="H225" s="736">
        <f>+J182*G225+E225</f>
        <v>36090.12458165387</v>
      </c>
      <c r="I225" s="742">
        <f>+J183*G225+E225</f>
        <v>36090.12458165387</v>
      </c>
      <c r="J225" s="739">
        <f t="shared" si="18"/>
        <v>0</v>
      </c>
      <c r="K225" s="739"/>
      <c r="L225" s="743"/>
      <c r="M225" s="739">
        <f t="shared" si="19"/>
        <v>0</v>
      </c>
      <c r="N225" s="743"/>
      <c r="O225" s="739">
        <f t="shared" si="20"/>
        <v>0</v>
      </c>
      <c r="P225" s="739">
        <f t="shared" si="21"/>
        <v>0</v>
      </c>
      <c r="Q225" s="680"/>
    </row>
    <row r="226" spans="2:17" ht="12.75">
      <c r="B226" s="330"/>
      <c r="C226" s="735">
        <f>IF(D181="","-",+C225+1)</f>
        <v>2052</v>
      </c>
      <c r="D226" s="679">
        <f t="shared" si="22"/>
        <v>197010.85344827545</v>
      </c>
      <c r="E226" s="741">
        <f t="shared" si="23"/>
        <v>10103.120689655172</v>
      </c>
      <c r="F226" s="741">
        <f t="shared" si="16"/>
        <v>186907.7327586203</v>
      </c>
      <c r="G226" s="679">
        <f t="shared" si="17"/>
        <v>191959.29310344788</v>
      </c>
      <c r="H226" s="736">
        <f>+J182*G226+E226</f>
        <v>34790.77438705394</v>
      </c>
      <c r="I226" s="742">
        <f>+J183*G226+E226</f>
        <v>34790.77438705394</v>
      </c>
      <c r="J226" s="739">
        <f t="shared" si="18"/>
        <v>0</v>
      </c>
      <c r="K226" s="739"/>
      <c r="L226" s="743"/>
      <c r="M226" s="739">
        <f t="shared" si="19"/>
        <v>0</v>
      </c>
      <c r="N226" s="743"/>
      <c r="O226" s="739">
        <f t="shared" si="20"/>
        <v>0</v>
      </c>
      <c r="P226" s="739">
        <f t="shared" si="21"/>
        <v>0</v>
      </c>
      <c r="Q226" s="680"/>
    </row>
    <row r="227" spans="2:17" ht="12.75">
      <c r="B227" s="330"/>
      <c r="C227" s="735">
        <f>IF(D181="","-",+C226+1)</f>
        <v>2053</v>
      </c>
      <c r="D227" s="679">
        <f t="shared" si="22"/>
        <v>186907.7327586203</v>
      </c>
      <c r="E227" s="741">
        <f t="shared" si="23"/>
        <v>10103.120689655172</v>
      </c>
      <c r="F227" s="741">
        <f t="shared" si="16"/>
        <v>176804.61206896513</v>
      </c>
      <c r="G227" s="679">
        <f t="shared" si="17"/>
        <v>181856.1724137927</v>
      </c>
      <c r="H227" s="736">
        <f>+J182*G227+E227</f>
        <v>33491.424192454</v>
      </c>
      <c r="I227" s="742">
        <f>+J183*G227+E227</f>
        <v>33491.424192454</v>
      </c>
      <c r="J227" s="739">
        <f t="shared" si="18"/>
        <v>0</v>
      </c>
      <c r="K227" s="739"/>
      <c r="L227" s="743"/>
      <c r="M227" s="739">
        <f t="shared" si="19"/>
        <v>0</v>
      </c>
      <c r="N227" s="743"/>
      <c r="O227" s="739">
        <f t="shared" si="20"/>
        <v>0</v>
      </c>
      <c r="P227" s="739">
        <f t="shared" si="21"/>
        <v>0</v>
      </c>
      <c r="Q227" s="680"/>
    </row>
    <row r="228" spans="2:17" ht="12.75">
      <c r="B228" s="330"/>
      <c r="C228" s="735">
        <f>IF(D181="","-",+C227+1)</f>
        <v>2054</v>
      </c>
      <c r="D228" s="679">
        <f t="shared" si="22"/>
        <v>176804.61206896513</v>
      </c>
      <c r="E228" s="741">
        <f t="shared" si="23"/>
        <v>10103.120689655172</v>
      </c>
      <c r="F228" s="741">
        <f t="shared" si="16"/>
        <v>166701.49137930997</v>
      </c>
      <c r="G228" s="679">
        <f t="shared" si="17"/>
        <v>171753.05172413756</v>
      </c>
      <c r="H228" s="736">
        <f>+J182*G228+E228</f>
        <v>32192.073997854066</v>
      </c>
      <c r="I228" s="742">
        <f>+J183*G228+E228</f>
        <v>32192.073997854066</v>
      </c>
      <c r="J228" s="739">
        <f t="shared" si="18"/>
        <v>0</v>
      </c>
      <c r="K228" s="739"/>
      <c r="L228" s="743"/>
      <c r="M228" s="739">
        <f t="shared" si="19"/>
        <v>0</v>
      </c>
      <c r="N228" s="743"/>
      <c r="O228" s="739">
        <f t="shared" si="20"/>
        <v>0</v>
      </c>
      <c r="P228" s="739">
        <f t="shared" si="21"/>
        <v>0</v>
      </c>
      <c r="Q228" s="680"/>
    </row>
    <row r="229" spans="2:17" ht="12.75">
      <c r="B229" s="330"/>
      <c r="C229" s="735">
        <f>IF(D181="","-",+C228+1)</f>
        <v>2055</v>
      </c>
      <c r="D229" s="679">
        <f t="shared" si="22"/>
        <v>166701.49137930997</v>
      </c>
      <c r="E229" s="741">
        <f t="shared" si="23"/>
        <v>10103.120689655172</v>
      </c>
      <c r="F229" s="741">
        <f t="shared" si="16"/>
        <v>156598.3706896548</v>
      </c>
      <c r="G229" s="679">
        <f t="shared" si="17"/>
        <v>161649.93103448238</v>
      </c>
      <c r="H229" s="736">
        <f>+J182*G229+E229</f>
        <v>30892.723803254128</v>
      </c>
      <c r="I229" s="742">
        <f>+J183*G229+E229</f>
        <v>30892.723803254128</v>
      </c>
      <c r="J229" s="739">
        <f t="shared" si="18"/>
        <v>0</v>
      </c>
      <c r="K229" s="739"/>
      <c r="L229" s="743"/>
      <c r="M229" s="739">
        <f t="shared" si="19"/>
        <v>0</v>
      </c>
      <c r="N229" s="743"/>
      <c r="O229" s="739">
        <f t="shared" si="20"/>
        <v>0</v>
      </c>
      <c r="P229" s="739">
        <f t="shared" si="21"/>
        <v>0</v>
      </c>
      <c r="Q229" s="680"/>
    </row>
    <row r="230" spans="2:17" ht="12.75">
      <c r="B230" s="330"/>
      <c r="C230" s="735">
        <f>IF(D181="","-",+C229+1)</f>
        <v>2056</v>
      </c>
      <c r="D230" s="679">
        <f t="shared" si="22"/>
        <v>156598.3706896548</v>
      </c>
      <c r="E230" s="741">
        <f t="shared" si="23"/>
        <v>10103.120689655172</v>
      </c>
      <c r="F230" s="741">
        <f t="shared" si="16"/>
        <v>146495.24999999965</v>
      </c>
      <c r="G230" s="679">
        <f t="shared" si="17"/>
        <v>151546.81034482724</v>
      </c>
      <c r="H230" s="736">
        <f>+J182*G230+E230</f>
        <v>29593.373608654198</v>
      </c>
      <c r="I230" s="742">
        <f>+J183*G230+E230</f>
        <v>29593.373608654198</v>
      </c>
      <c r="J230" s="739">
        <f t="shared" si="18"/>
        <v>0</v>
      </c>
      <c r="K230" s="739"/>
      <c r="L230" s="743"/>
      <c r="M230" s="739">
        <f t="shared" si="19"/>
        <v>0</v>
      </c>
      <c r="N230" s="743"/>
      <c r="O230" s="739">
        <f t="shared" si="20"/>
        <v>0</v>
      </c>
      <c r="P230" s="739">
        <f t="shared" si="21"/>
        <v>0</v>
      </c>
      <c r="Q230" s="680"/>
    </row>
    <row r="231" spans="2:17" ht="12.75">
      <c r="B231" s="330"/>
      <c r="C231" s="735">
        <f>IF(D181="","-",+C230+1)</f>
        <v>2057</v>
      </c>
      <c r="D231" s="679">
        <f t="shared" si="22"/>
        <v>146495.24999999965</v>
      </c>
      <c r="E231" s="741">
        <f t="shared" si="23"/>
        <v>10103.120689655172</v>
      </c>
      <c r="F231" s="741">
        <f t="shared" si="16"/>
        <v>136392.1293103445</v>
      </c>
      <c r="G231" s="679">
        <f t="shared" si="17"/>
        <v>141443.68965517206</v>
      </c>
      <c r="H231" s="736">
        <f>+J182*G231+E231</f>
        <v>28294.023414054252</v>
      </c>
      <c r="I231" s="742">
        <f>+J183*G231+E231</f>
        <v>28294.023414054252</v>
      </c>
      <c r="J231" s="739">
        <f t="shared" si="18"/>
        <v>0</v>
      </c>
      <c r="K231" s="739"/>
      <c r="L231" s="743"/>
      <c r="M231" s="739">
        <f t="shared" si="19"/>
        <v>0</v>
      </c>
      <c r="N231" s="743"/>
      <c r="O231" s="739">
        <f t="shared" si="20"/>
        <v>0</v>
      </c>
      <c r="P231" s="739">
        <f t="shared" si="21"/>
        <v>0</v>
      </c>
      <c r="Q231" s="680"/>
    </row>
    <row r="232" spans="2:17" ht="12.75">
      <c r="B232" s="330"/>
      <c r="C232" s="735">
        <f>IF(D181="","-",+C231+1)</f>
        <v>2058</v>
      </c>
      <c r="D232" s="679">
        <f t="shared" si="22"/>
        <v>136392.1293103445</v>
      </c>
      <c r="E232" s="741">
        <f t="shared" si="23"/>
        <v>10103.120689655172</v>
      </c>
      <c r="F232" s="741">
        <f t="shared" si="16"/>
        <v>126289.00862068932</v>
      </c>
      <c r="G232" s="679">
        <f t="shared" si="17"/>
        <v>131340.5689655169</v>
      </c>
      <c r="H232" s="736">
        <f>+J182*G232+E232</f>
        <v>26994.673219454322</v>
      </c>
      <c r="I232" s="742">
        <f>+J183*G232+E232</f>
        <v>26994.673219454322</v>
      </c>
      <c r="J232" s="739">
        <f t="shared" si="18"/>
        <v>0</v>
      </c>
      <c r="K232" s="739"/>
      <c r="L232" s="743"/>
      <c r="M232" s="739">
        <f t="shared" si="19"/>
        <v>0</v>
      </c>
      <c r="N232" s="743"/>
      <c r="O232" s="739">
        <f t="shared" si="20"/>
        <v>0</v>
      </c>
      <c r="P232" s="739">
        <f t="shared" si="21"/>
        <v>0</v>
      </c>
      <c r="Q232" s="680"/>
    </row>
    <row r="233" spans="2:17" ht="12.75">
      <c r="B233" s="330"/>
      <c r="C233" s="735">
        <f>IF(D181="","-",+C232+1)</f>
        <v>2059</v>
      </c>
      <c r="D233" s="679">
        <f t="shared" si="22"/>
        <v>126289.00862068932</v>
      </c>
      <c r="E233" s="741">
        <f t="shared" si="23"/>
        <v>10103.120689655172</v>
      </c>
      <c r="F233" s="741">
        <f t="shared" si="16"/>
        <v>116185.88793103414</v>
      </c>
      <c r="G233" s="679">
        <f t="shared" si="17"/>
        <v>121237.44827586174</v>
      </c>
      <c r="H233" s="736">
        <f>+J182*G233+E233</f>
        <v>25695.323024854384</v>
      </c>
      <c r="I233" s="742">
        <f>+J183*G233+E233</f>
        <v>25695.323024854384</v>
      </c>
      <c r="J233" s="739">
        <f t="shared" si="18"/>
        <v>0</v>
      </c>
      <c r="K233" s="739"/>
      <c r="L233" s="743"/>
      <c r="M233" s="739">
        <f t="shared" si="19"/>
        <v>0</v>
      </c>
      <c r="N233" s="743"/>
      <c r="O233" s="739">
        <f t="shared" si="20"/>
        <v>0</v>
      </c>
      <c r="P233" s="739">
        <f t="shared" si="21"/>
        <v>0</v>
      </c>
      <c r="Q233" s="680"/>
    </row>
    <row r="234" spans="2:17" ht="12.75">
      <c r="B234" s="330"/>
      <c r="C234" s="735">
        <f>IF(D181="","-",+C233+1)</f>
        <v>2060</v>
      </c>
      <c r="D234" s="679">
        <f t="shared" si="22"/>
        <v>116185.88793103414</v>
      </c>
      <c r="E234" s="741">
        <f t="shared" si="23"/>
        <v>10103.120689655172</v>
      </c>
      <c r="F234" s="741">
        <f t="shared" si="16"/>
        <v>106082.76724137897</v>
      </c>
      <c r="G234" s="679">
        <f t="shared" si="17"/>
        <v>111134.32758620655</v>
      </c>
      <c r="H234" s="736">
        <f>+J182*G234+E234</f>
        <v>24395.972830254443</v>
      </c>
      <c r="I234" s="742">
        <f>+J183*G234+E234</f>
        <v>24395.972830254443</v>
      </c>
      <c r="J234" s="739">
        <f t="shared" si="18"/>
        <v>0</v>
      </c>
      <c r="K234" s="739"/>
      <c r="L234" s="743"/>
      <c r="M234" s="739">
        <f t="shared" si="19"/>
        <v>0</v>
      </c>
      <c r="N234" s="743"/>
      <c r="O234" s="739">
        <f t="shared" si="20"/>
        <v>0</v>
      </c>
      <c r="P234" s="739">
        <f t="shared" si="21"/>
        <v>0</v>
      </c>
      <c r="Q234" s="680"/>
    </row>
    <row r="235" spans="2:17" ht="12.75">
      <c r="B235" s="330"/>
      <c r="C235" s="735">
        <f>IF(D181="","-",+C234+1)</f>
        <v>2061</v>
      </c>
      <c r="D235" s="679">
        <f t="shared" si="22"/>
        <v>106082.76724137897</v>
      </c>
      <c r="E235" s="741">
        <f t="shared" si="23"/>
        <v>10103.120689655172</v>
      </c>
      <c r="F235" s="741">
        <f t="shared" si="16"/>
        <v>95979.6465517238</v>
      </c>
      <c r="G235" s="679">
        <f t="shared" si="17"/>
        <v>101031.20689655139</v>
      </c>
      <c r="H235" s="736">
        <f>+J182*G235+E235</f>
        <v>23096.62263565451</v>
      </c>
      <c r="I235" s="742">
        <f>+J183*G235+E235</f>
        <v>23096.62263565451</v>
      </c>
      <c r="J235" s="739">
        <f t="shared" si="18"/>
        <v>0</v>
      </c>
      <c r="K235" s="739"/>
      <c r="L235" s="743"/>
      <c r="M235" s="739">
        <f t="shared" si="19"/>
        <v>0</v>
      </c>
      <c r="N235" s="743"/>
      <c r="O235" s="739">
        <f t="shared" si="20"/>
        <v>0</v>
      </c>
      <c r="P235" s="739">
        <f t="shared" si="21"/>
        <v>0</v>
      </c>
      <c r="Q235" s="680"/>
    </row>
    <row r="236" spans="2:17" ht="12.75">
      <c r="B236" s="330"/>
      <c r="C236" s="735">
        <f>IF(D181="","-",+C235+1)</f>
        <v>2062</v>
      </c>
      <c r="D236" s="679">
        <f t="shared" si="22"/>
        <v>95979.6465517238</v>
      </c>
      <c r="E236" s="741">
        <f t="shared" si="23"/>
        <v>10103.120689655172</v>
      </c>
      <c r="F236" s="741">
        <f t="shared" si="16"/>
        <v>85876.52586206862</v>
      </c>
      <c r="G236" s="679">
        <f t="shared" si="17"/>
        <v>90928.0862068962</v>
      </c>
      <c r="H236" s="736">
        <f>+J182*G236+E236</f>
        <v>21797.272441054567</v>
      </c>
      <c r="I236" s="742">
        <f>+J183*G236+E236</f>
        <v>21797.272441054567</v>
      </c>
      <c r="J236" s="739">
        <f t="shared" si="18"/>
        <v>0</v>
      </c>
      <c r="K236" s="739"/>
      <c r="L236" s="743"/>
      <c r="M236" s="739">
        <f t="shared" si="19"/>
        <v>0</v>
      </c>
      <c r="N236" s="743"/>
      <c r="O236" s="739">
        <f t="shared" si="20"/>
        <v>0</v>
      </c>
      <c r="P236" s="739">
        <f t="shared" si="21"/>
        <v>0</v>
      </c>
      <c r="Q236" s="680"/>
    </row>
    <row r="237" spans="2:17" ht="12.75">
      <c r="B237" s="330"/>
      <c r="C237" s="735">
        <f>IF(D181="","-",+C236+1)</f>
        <v>2063</v>
      </c>
      <c r="D237" s="679">
        <f t="shared" si="22"/>
        <v>85876.52586206862</v>
      </c>
      <c r="E237" s="741">
        <f t="shared" si="23"/>
        <v>10103.120689655172</v>
      </c>
      <c r="F237" s="741">
        <f t="shared" si="16"/>
        <v>75773.40517241345</v>
      </c>
      <c r="G237" s="679">
        <f t="shared" si="17"/>
        <v>80824.96551724104</v>
      </c>
      <c r="H237" s="736">
        <f>+J182*G237+E237</f>
        <v>20497.922246454633</v>
      </c>
      <c r="I237" s="742">
        <f>+J183*G237+E237</f>
        <v>20497.922246454633</v>
      </c>
      <c r="J237" s="739">
        <f t="shared" si="18"/>
        <v>0</v>
      </c>
      <c r="K237" s="739"/>
      <c r="L237" s="743"/>
      <c r="M237" s="739">
        <f t="shared" si="19"/>
        <v>0</v>
      </c>
      <c r="N237" s="743"/>
      <c r="O237" s="739">
        <f t="shared" si="20"/>
        <v>0</v>
      </c>
      <c r="P237" s="739">
        <f t="shared" si="21"/>
        <v>0</v>
      </c>
      <c r="Q237" s="680"/>
    </row>
    <row r="238" spans="2:17" ht="12.75">
      <c r="B238" s="330"/>
      <c r="C238" s="735">
        <f>IF(D181="","-",+C237+1)</f>
        <v>2064</v>
      </c>
      <c r="D238" s="679">
        <f t="shared" si="22"/>
        <v>75773.40517241345</v>
      </c>
      <c r="E238" s="741">
        <f t="shared" si="23"/>
        <v>10103.120689655172</v>
      </c>
      <c r="F238" s="741">
        <f t="shared" si="16"/>
        <v>65670.28448275827</v>
      </c>
      <c r="G238" s="679">
        <f t="shared" si="17"/>
        <v>70721.84482758585</v>
      </c>
      <c r="H238" s="736">
        <f>+J182*G238+E238</f>
        <v>19198.57205185469</v>
      </c>
      <c r="I238" s="742">
        <f>+J183*G238+E238</f>
        <v>19198.57205185469</v>
      </c>
      <c r="J238" s="739">
        <f t="shared" si="18"/>
        <v>0</v>
      </c>
      <c r="K238" s="739"/>
      <c r="L238" s="743"/>
      <c r="M238" s="739">
        <f t="shared" si="19"/>
        <v>0</v>
      </c>
      <c r="N238" s="743"/>
      <c r="O238" s="739">
        <f t="shared" si="20"/>
        <v>0</v>
      </c>
      <c r="P238" s="739">
        <f t="shared" si="21"/>
        <v>0</v>
      </c>
      <c r="Q238" s="680"/>
    </row>
    <row r="239" spans="2:17" ht="12.75">
      <c r="B239" s="330"/>
      <c r="C239" s="735">
        <f>IF(D181="","-",+C238+1)</f>
        <v>2065</v>
      </c>
      <c r="D239" s="679">
        <f t="shared" si="22"/>
        <v>65670.28448275827</v>
      </c>
      <c r="E239" s="741">
        <f t="shared" si="23"/>
        <v>10103.120689655172</v>
      </c>
      <c r="F239" s="741">
        <f t="shared" si="16"/>
        <v>55567.1637931031</v>
      </c>
      <c r="G239" s="679">
        <f t="shared" si="17"/>
        <v>60618.72413793069</v>
      </c>
      <c r="H239" s="736">
        <f>+J182*G239+E239</f>
        <v>17899.221857254754</v>
      </c>
      <c r="I239" s="742">
        <f>+J183*G239+E239</f>
        <v>17899.221857254754</v>
      </c>
      <c r="J239" s="739">
        <f t="shared" si="18"/>
        <v>0</v>
      </c>
      <c r="K239" s="739"/>
      <c r="L239" s="743"/>
      <c r="M239" s="739">
        <f t="shared" si="19"/>
        <v>0</v>
      </c>
      <c r="N239" s="743"/>
      <c r="O239" s="739">
        <f t="shared" si="20"/>
        <v>0</v>
      </c>
      <c r="P239" s="739">
        <f t="shared" si="21"/>
        <v>0</v>
      </c>
      <c r="Q239" s="680"/>
    </row>
    <row r="240" spans="2:17" ht="12.75">
      <c r="B240" s="330"/>
      <c r="C240" s="735">
        <f>IF(D181="","-",+C239+1)</f>
        <v>2066</v>
      </c>
      <c r="D240" s="679">
        <f t="shared" si="22"/>
        <v>55567.1637931031</v>
      </c>
      <c r="E240" s="741">
        <f t="shared" si="23"/>
        <v>10103.120689655172</v>
      </c>
      <c r="F240" s="741">
        <f t="shared" si="16"/>
        <v>45464.043103447926</v>
      </c>
      <c r="G240" s="679">
        <f t="shared" si="17"/>
        <v>50515.60344827551</v>
      </c>
      <c r="H240" s="736">
        <f>+J182*G240+E240</f>
        <v>16599.871662654816</v>
      </c>
      <c r="I240" s="742">
        <f>+J183*G240+E240</f>
        <v>16599.871662654816</v>
      </c>
      <c r="J240" s="739">
        <f t="shared" si="18"/>
        <v>0</v>
      </c>
      <c r="K240" s="739"/>
      <c r="L240" s="743"/>
      <c r="M240" s="739">
        <f t="shared" si="19"/>
        <v>0</v>
      </c>
      <c r="N240" s="743"/>
      <c r="O240" s="739">
        <f t="shared" si="20"/>
        <v>0</v>
      </c>
      <c r="P240" s="739">
        <f t="shared" si="21"/>
        <v>0</v>
      </c>
      <c r="Q240" s="680"/>
    </row>
    <row r="241" spans="2:17" ht="12.75">
      <c r="B241" s="330"/>
      <c r="C241" s="735">
        <f>IF(D181="","-",+C240+1)</f>
        <v>2067</v>
      </c>
      <c r="D241" s="679">
        <f t="shared" si="22"/>
        <v>45464.043103447926</v>
      </c>
      <c r="E241" s="741">
        <f t="shared" si="23"/>
        <v>10103.120689655172</v>
      </c>
      <c r="F241" s="741">
        <f t="shared" si="16"/>
        <v>35360.92241379275</v>
      </c>
      <c r="G241" s="679">
        <f t="shared" si="17"/>
        <v>40412.48275862034</v>
      </c>
      <c r="H241" s="736">
        <f>+J182*G241+E241</f>
        <v>15300.521468054878</v>
      </c>
      <c r="I241" s="742">
        <f>+J183*G241+E241</f>
        <v>15300.521468054878</v>
      </c>
      <c r="J241" s="739">
        <f t="shared" si="18"/>
        <v>0</v>
      </c>
      <c r="K241" s="739"/>
      <c r="L241" s="743"/>
      <c r="M241" s="739">
        <f t="shared" si="19"/>
        <v>0</v>
      </c>
      <c r="N241" s="743"/>
      <c r="O241" s="739">
        <f t="shared" si="20"/>
        <v>0</v>
      </c>
      <c r="P241" s="739">
        <f t="shared" si="21"/>
        <v>0</v>
      </c>
      <c r="Q241" s="680"/>
    </row>
    <row r="242" spans="2:17" ht="12.75">
      <c r="B242" s="330"/>
      <c r="C242" s="735">
        <f>IF(D181="","-",+C241+1)</f>
        <v>2068</v>
      </c>
      <c r="D242" s="679">
        <f t="shared" si="22"/>
        <v>35360.92241379275</v>
      </c>
      <c r="E242" s="741">
        <f t="shared" si="23"/>
        <v>10103.120689655172</v>
      </c>
      <c r="F242" s="741">
        <f t="shared" si="16"/>
        <v>25257.80172413758</v>
      </c>
      <c r="G242" s="679">
        <f t="shared" si="17"/>
        <v>30309.362068965165</v>
      </c>
      <c r="H242" s="736">
        <f>+J182*G242+E242</f>
        <v>14001.17127345494</v>
      </c>
      <c r="I242" s="742">
        <f>+J183*G242+E242</f>
        <v>14001.17127345494</v>
      </c>
      <c r="J242" s="739">
        <f t="shared" si="18"/>
        <v>0</v>
      </c>
      <c r="K242" s="739"/>
      <c r="L242" s="743"/>
      <c r="M242" s="739">
        <f t="shared" si="19"/>
        <v>0</v>
      </c>
      <c r="N242" s="743"/>
      <c r="O242" s="739">
        <f t="shared" si="20"/>
        <v>0</v>
      </c>
      <c r="P242" s="739">
        <f t="shared" si="21"/>
        <v>0</v>
      </c>
      <c r="Q242" s="680"/>
    </row>
    <row r="243" spans="2:17" ht="12.75">
      <c r="B243" s="330"/>
      <c r="C243" s="735">
        <f>IF(D181="","-",+C242+1)</f>
        <v>2069</v>
      </c>
      <c r="D243" s="679">
        <f t="shared" si="22"/>
        <v>25257.80172413758</v>
      </c>
      <c r="E243" s="741">
        <f t="shared" si="23"/>
        <v>10103.120689655172</v>
      </c>
      <c r="F243" s="741">
        <f t="shared" si="16"/>
        <v>15154.681034482406</v>
      </c>
      <c r="G243" s="679">
        <f t="shared" si="17"/>
        <v>20206.24137930999</v>
      </c>
      <c r="H243" s="736">
        <f>+J182*G243+E243</f>
        <v>12701.821078855002</v>
      </c>
      <c r="I243" s="742">
        <f>+J183*G243+E243</f>
        <v>12701.821078855002</v>
      </c>
      <c r="J243" s="739">
        <f t="shared" si="18"/>
        <v>0</v>
      </c>
      <c r="K243" s="739"/>
      <c r="L243" s="743"/>
      <c r="M243" s="739">
        <f t="shared" si="19"/>
        <v>0</v>
      </c>
      <c r="N243" s="743"/>
      <c r="O243" s="739">
        <f t="shared" si="20"/>
        <v>0</v>
      </c>
      <c r="P243" s="739">
        <f t="shared" si="21"/>
        <v>0</v>
      </c>
      <c r="Q243" s="680"/>
    </row>
    <row r="244" spans="2:17" ht="12.75">
      <c r="B244" s="330"/>
      <c r="C244" s="735">
        <f>IF(D181="","-",+C243+1)</f>
        <v>2070</v>
      </c>
      <c r="D244" s="679">
        <f t="shared" si="22"/>
        <v>15154.681034482406</v>
      </c>
      <c r="E244" s="741">
        <f t="shared" si="23"/>
        <v>10103.120689655172</v>
      </c>
      <c r="F244" s="741">
        <f t="shared" si="16"/>
        <v>5051.560344827234</v>
      </c>
      <c r="G244" s="679">
        <f t="shared" si="17"/>
        <v>10103.120689654821</v>
      </c>
      <c r="H244" s="736">
        <f>+J182*G244+E244</f>
        <v>11402.470884255064</v>
      </c>
      <c r="I244" s="742">
        <f>+J183*G244+E244</f>
        <v>11402.470884255064</v>
      </c>
      <c r="J244" s="739">
        <f t="shared" si="18"/>
        <v>0</v>
      </c>
      <c r="K244" s="739"/>
      <c r="L244" s="743"/>
      <c r="M244" s="739">
        <f t="shared" si="19"/>
        <v>0</v>
      </c>
      <c r="N244" s="743"/>
      <c r="O244" s="739">
        <f t="shared" si="20"/>
        <v>0</v>
      </c>
      <c r="P244" s="739">
        <f t="shared" si="21"/>
        <v>0</v>
      </c>
      <c r="Q244" s="680"/>
    </row>
    <row r="245" spans="2:17" ht="12.75">
      <c r="B245" s="330"/>
      <c r="C245" s="735">
        <f>IF(D181="","-",+C244+1)</f>
        <v>2071</v>
      </c>
      <c r="D245" s="679">
        <f t="shared" si="22"/>
        <v>5051.560344827234</v>
      </c>
      <c r="E245" s="741">
        <f t="shared" si="23"/>
        <v>5051.560344827234</v>
      </c>
      <c r="F245" s="741">
        <f t="shared" si="16"/>
        <v>0</v>
      </c>
      <c r="G245" s="679">
        <f t="shared" si="17"/>
        <v>2525.780172413617</v>
      </c>
      <c r="H245" s="736">
        <f>+J182*G245+E245</f>
        <v>5376.397893477196</v>
      </c>
      <c r="I245" s="742">
        <f>+J183*G245+E245</f>
        <v>5376.397893477196</v>
      </c>
      <c r="J245" s="739">
        <f t="shared" si="18"/>
        <v>0</v>
      </c>
      <c r="K245" s="739"/>
      <c r="L245" s="743"/>
      <c r="M245" s="739">
        <f t="shared" si="19"/>
        <v>0</v>
      </c>
      <c r="N245" s="743"/>
      <c r="O245" s="739">
        <f t="shared" si="20"/>
        <v>0</v>
      </c>
      <c r="P245" s="739">
        <f t="shared" si="21"/>
        <v>0</v>
      </c>
      <c r="Q245" s="680"/>
    </row>
    <row r="246" spans="2:17" ht="13.5" thickBot="1">
      <c r="B246" s="330"/>
      <c r="C246" s="746">
        <f>IF(D181="","-",+C245+1)</f>
        <v>2072</v>
      </c>
      <c r="D246" s="747">
        <f t="shared" si="22"/>
        <v>0</v>
      </c>
      <c r="E246" s="741">
        <f t="shared" si="23"/>
        <v>0</v>
      </c>
      <c r="F246" s="748">
        <f t="shared" si="16"/>
        <v>0</v>
      </c>
      <c r="G246" s="747">
        <f t="shared" si="17"/>
        <v>0</v>
      </c>
      <c r="H246" s="749">
        <f>+J182*G246+E246</f>
        <v>0</v>
      </c>
      <c r="I246" s="749">
        <f>+J183*G246+E246</f>
        <v>0</v>
      </c>
      <c r="J246" s="750">
        <f t="shared" si="18"/>
        <v>0</v>
      </c>
      <c r="K246" s="739"/>
      <c r="L246" s="751"/>
      <c r="M246" s="750">
        <f t="shared" si="19"/>
        <v>0</v>
      </c>
      <c r="N246" s="751"/>
      <c r="O246" s="750">
        <f t="shared" si="20"/>
        <v>0</v>
      </c>
      <c r="P246" s="750">
        <f t="shared" si="21"/>
        <v>0</v>
      </c>
      <c r="Q246" s="680"/>
    </row>
    <row r="247" spans="2:17" ht="12.75">
      <c r="B247" s="330"/>
      <c r="C247" s="679" t="s">
        <v>290</v>
      </c>
      <c r="D247" s="675"/>
      <c r="E247" s="675">
        <f>SUM(E187:E246)</f>
        <v>585981</v>
      </c>
      <c r="F247" s="675"/>
      <c r="G247" s="675"/>
      <c r="H247" s="675">
        <f>SUM(H187:H246)</f>
        <v>2809169.1829604935</v>
      </c>
      <c r="I247" s="675">
        <f>SUM(I187:I246)</f>
        <v>2809169.1829604935</v>
      </c>
      <c r="J247" s="675">
        <f>SUM(J187:J246)</f>
        <v>0</v>
      </c>
      <c r="K247" s="675"/>
      <c r="L247" s="675"/>
      <c r="M247" s="675"/>
      <c r="N247" s="675"/>
      <c r="O247" s="675"/>
      <c r="Q247" s="675"/>
    </row>
    <row r="248" spans="2:17" ht="12.75">
      <c r="B248" s="330"/>
      <c r="D248" s="569"/>
      <c r="E248" s="546"/>
      <c r="F248" s="546"/>
      <c r="G248" s="546"/>
      <c r="H248" s="546"/>
      <c r="I248" s="652"/>
      <c r="J248" s="652"/>
      <c r="K248" s="675"/>
      <c r="L248" s="652"/>
      <c r="M248" s="652"/>
      <c r="N248" s="652"/>
      <c r="O248" s="652"/>
      <c r="Q248" s="675"/>
    </row>
    <row r="249" spans="2:17" ht="12.75">
      <c r="B249" s="330"/>
      <c r="C249" s="546" t="s">
        <v>605</v>
      </c>
      <c r="D249" s="569"/>
      <c r="E249" s="546"/>
      <c r="F249" s="546"/>
      <c r="G249" s="546"/>
      <c r="H249" s="546"/>
      <c r="I249" s="652"/>
      <c r="J249" s="652"/>
      <c r="K249" s="675"/>
      <c r="L249" s="652"/>
      <c r="M249" s="652"/>
      <c r="N249" s="652"/>
      <c r="O249" s="652"/>
      <c r="Q249" s="675"/>
    </row>
    <row r="250" spans="2:17" ht="12.75">
      <c r="B250" s="330"/>
      <c r="D250" s="569"/>
      <c r="E250" s="546"/>
      <c r="F250" s="546"/>
      <c r="G250" s="546"/>
      <c r="H250" s="546"/>
      <c r="I250" s="652"/>
      <c r="J250" s="652"/>
      <c r="K250" s="675"/>
      <c r="L250" s="652"/>
      <c r="M250" s="652"/>
      <c r="N250" s="652"/>
      <c r="O250" s="652"/>
      <c r="Q250" s="675"/>
    </row>
    <row r="251" spans="2:17" ht="12.75">
      <c r="B251" s="330"/>
      <c r="C251" s="582" t="s">
        <v>606</v>
      </c>
      <c r="D251" s="679"/>
      <c r="E251" s="679"/>
      <c r="F251" s="679"/>
      <c r="G251" s="679"/>
      <c r="H251" s="675"/>
      <c r="I251" s="675"/>
      <c r="J251" s="680"/>
      <c r="K251" s="680"/>
      <c r="L251" s="680"/>
      <c r="M251" s="680"/>
      <c r="N251" s="680"/>
      <c r="O251" s="680"/>
      <c r="Q251" s="680"/>
    </row>
    <row r="252" spans="2:17" ht="12.75">
      <c r="B252" s="330"/>
      <c r="C252" s="582" t="s">
        <v>478</v>
      </c>
      <c r="D252" s="679"/>
      <c r="E252" s="679"/>
      <c r="F252" s="679"/>
      <c r="G252" s="679"/>
      <c r="H252" s="675"/>
      <c r="I252" s="675"/>
      <c r="J252" s="680"/>
      <c r="K252" s="680"/>
      <c r="L252" s="680"/>
      <c r="M252" s="680"/>
      <c r="N252" s="680"/>
      <c r="O252" s="680"/>
      <c r="Q252" s="680"/>
    </row>
    <row r="253" spans="2:17" ht="12.75">
      <c r="B253" s="330"/>
      <c r="C253" s="582" t="s">
        <v>291</v>
      </c>
      <c r="D253" s="679"/>
      <c r="E253" s="679"/>
      <c r="F253" s="679"/>
      <c r="G253" s="679"/>
      <c r="H253" s="675"/>
      <c r="I253" s="675"/>
      <c r="J253" s="680"/>
      <c r="K253" s="680"/>
      <c r="L253" s="680"/>
      <c r="M253" s="680"/>
      <c r="N253" s="680"/>
      <c r="O253" s="680"/>
      <c r="Q253" s="680"/>
    </row>
    <row r="254" spans="1:17" ht="20.25">
      <c r="A254" s="681" t="s">
        <v>762</v>
      </c>
      <c r="B254" s="546"/>
      <c r="C254" s="661"/>
      <c r="D254" s="569"/>
      <c r="E254" s="546"/>
      <c r="F254" s="651"/>
      <c r="G254" s="651"/>
      <c r="H254" s="546"/>
      <c r="I254" s="652"/>
      <c r="L254" s="682"/>
      <c r="M254" s="682"/>
      <c r="N254" s="682"/>
      <c r="O254" s="597" t="str">
        <f>"Page "&amp;SUM(Q$1:Q254)&amp;" of "</f>
        <v>Page 4 of </v>
      </c>
      <c r="P254" s="598">
        <f>COUNT(Q$6:Q$57776)</f>
        <v>10</v>
      </c>
      <c r="Q254" s="772">
        <v>1</v>
      </c>
    </row>
    <row r="255" spans="2:17" ht="12.75">
      <c r="B255" s="546"/>
      <c r="C255" s="546"/>
      <c r="D255" s="569"/>
      <c r="E255" s="546"/>
      <c r="F255" s="546"/>
      <c r="G255" s="546"/>
      <c r="H255" s="546"/>
      <c r="I255" s="652"/>
      <c r="J255" s="546"/>
      <c r="K255" s="594"/>
      <c r="Q255" s="594"/>
    </row>
    <row r="256" spans="2:17" ht="18">
      <c r="B256" s="601" t="s">
        <v>176</v>
      </c>
      <c r="C256" s="683" t="s">
        <v>292</v>
      </c>
      <c r="D256" s="569"/>
      <c r="E256" s="546"/>
      <c r="F256" s="546"/>
      <c r="G256" s="546"/>
      <c r="H256" s="546"/>
      <c r="I256" s="652"/>
      <c r="J256" s="652"/>
      <c r="K256" s="675"/>
      <c r="L256" s="652"/>
      <c r="M256" s="652"/>
      <c r="N256" s="652"/>
      <c r="O256" s="652"/>
      <c r="Q256" s="675"/>
    </row>
    <row r="257" spans="2:17" ht="18.75">
      <c r="B257" s="601"/>
      <c r="C257" s="600"/>
      <c r="D257" s="569"/>
      <c r="E257" s="546"/>
      <c r="F257" s="546"/>
      <c r="G257" s="546"/>
      <c r="H257" s="546"/>
      <c r="I257" s="652"/>
      <c r="J257" s="652"/>
      <c r="K257" s="675"/>
      <c r="L257" s="652"/>
      <c r="M257" s="652"/>
      <c r="N257" s="652"/>
      <c r="O257" s="652"/>
      <c r="Q257" s="675"/>
    </row>
    <row r="258" spans="2:17" ht="18.75">
      <c r="B258" s="601"/>
      <c r="C258" s="600" t="s">
        <v>293</v>
      </c>
      <c r="D258" s="569"/>
      <c r="E258" s="546"/>
      <c r="F258" s="546"/>
      <c r="G258" s="546"/>
      <c r="H258" s="546"/>
      <c r="I258" s="652"/>
      <c r="J258" s="652"/>
      <c r="K258" s="675"/>
      <c r="L258" s="652"/>
      <c r="M258" s="652"/>
      <c r="N258" s="652"/>
      <c r="O258" s="652"/>
      <c r="Q258" s="675"/>
    </row>
    <row r="259" spans="2:17" ht="15.75" thickBot="1">
      <c r="B259" s="330"/>
      <c r="C259" s="396"/>
      <c r="D259" s="569"/>
      <c r="E259" s="546"/>
      <c r="F259" s="546"/>
      <c r="G259" s="546"/>
      <c r="H259" s="546"/>
      <c r="I259" s="652"/>
      <c r="J259" s="652"/>
      <c r="K259" s="675"/>
      <c r="L259" s="652"/>
      <c r="M259" s="652"/>
      <c r="N259" s="652"/>
      <c r="O259" s="652"/>
      <c r="Q259" s="675"/>
    </row>
    <row r="260" spans="2:17" ht="15.75">
      <c r="B260" s="330"/>
      <c r="C260" s="602" t="s">
        <v>294</v>
      </c>
      <c r="D260" s="569"/>
      <c r="E260" s="546"/>
      <c r="F260" s="546"/>
      <c r="G260" s="546"/>
      <c r="H260" s="851"/>
      <c r="I260" s="546" t="s">
        <v>273</v>
      </c>
      <c r="J260" s="546"/>
      <c r="K260" s="594"/>
      <c r="L260" s="773">
        <f>+J266</f>
        <v>2017</v>
      </c>
      <c r="M260" s="755" t="s">
        <v>256</v>
      </c>
      <c r="N260" s="755" t="s">
        <v>257</v>
      </c>
      <c r="O260" s="756" t="s">
        <v>258</v>
      </c>
      <c r="Q260" s="594"/>
    </row>
    <row r="261" spans="2:17" ht="15.75">
      <c r="B261" s="330"/>
      <c r="C261" s="602"/>
      <c r="D261" s="569"/>
      <c r="E261" s="546"/>
      <c r="F261" s="546"/>
      <c r="H261" s="546"/>
      <c r="I261" s="688"/>
      <c r="J261" s="688"/>
      <c r="K261" s="689"/>
      <c r="L261" s="774" t="s">
        <v>457</v>
      </c>
      <c r="M261" s="775">
        <f>VLOOKUP(J266,C273:P332,10)</f>
        <v>3162406</v>
      </c>
      <c r="N261" s="775">
        <f>VLOOKUP(J266,C273:P332,12)</f>
        <v>3162406</v>
      </c>
      <c r="O261" s="776">
        <f>+N261-M261</f>
        <v>0</v>
      </c>
      <c r="Q261" s="689"/>
    </row>
    <row r="262" spans="2:17" ht="12.75">
      <c r="B262" s="330"/>
      <c r="C262" s="693" t="s">
        <v>295</v>
      </c>
      <c r="D262" s="1527" t="s">
        <v>971</v>
      </c>
      <c r="E262" s="1528"/>
      <c r="F262" s="1528"/>
      <c r="G262" s="1528"/>
      <c r="H262" s="1528"/>
      <c r="I262" s="1528"/>
      <c r="J262" s="652"/>
      <c r="K262" s="675"/>
      <c r="L262" s="774" t="s">
        <v>458</v>
      </c>
      <c r="M262" s="777">
        <f>VLOOKUP(J266,C273:P332,6)</f>
        <v>2999582.502212041</v>
      </c>
      <c r="N262" s="777">
        <f>VLOOKUP(J266,C273:P332,7)</f>
        <v>2999582.502212041</v>
      </c>
      <c r="O262" s="778">
        <f>+N262-M262</f>
        <v>0</v>
      </c>
      <c r="Q262" s="675"/>
    </row>
    <row r="263" spans="2:17" ht="13.5" thickBot="1">
      <c r="B263" s="330"/>
      <c r="C263" s="697"/>
      <c r="D263" s="1528"/>
      <c r="E263" s="1528"/>
      <c r="F263" s="1528"/>
      <c r="G263" s="1528"/>
      <c r="H263" s="1528"/>
      <c r="I263" s="1528"/>
      <c r="J263" s="652"/>
      <c r="K263" s="675"/>
      <c r="L263" s="718" t="s">
        <v>459</v>
      </c>
      <c r="M263" s="779">
        <f>+M262-M261</f>
        <v>-162823.49778795894</v>
      </c>
      <c r="N263" s="779">
        <f>+N262-N261</f>
        <v>-162823.49778795894</v>
      </c>
      <c r="O263" s="780">
        <f>+O262-O261</f>
        <v>0</v>
      </c>
      <c r="Q263" s="675"/>
    </row>
    <row r="264" spans="2:17" ht="13.5" thickBot="1">
      <c r="B264" s="330"/>
      <c r="C264" s="700"/>
      <c r="D264" s="701"/>
      <c r="E264" s="699"/>
      <c r="F264" s="699"/>
      <c r="G264" s="699"/>
      <c r="H264" s="699"/>
      <c r="I264" s="699"/>
      <c r="J264" s="699"/>
      <c r="K264" s="702"/>
      <c r="L264" s="699"/>
      <c r="M264" s="699"/>
      <c r="N264" s="699"/>
      <c r="O264" s="699"/>
      <c r="P264" s="582"/>
      <c r="Q264" s="702"/>
    </row>
    <row r="265" spans="2:17" ht="13.5" thickBot="1">
      <c r="B265" s="330"/>
      <c r="C265" s="704" t="s">
        <v>296</v>
      </c>
      <c r="D265" s="705"/>
      <c r="E265" s="705"/>
      <c r="F265" s="705"/>
      <c r="G265" s="705"/>
      <c r="H265" s="705"/>
      <c r="I265" s="705"/>
      <c r="J265" s="705"/>
      <c r="K265" s="707"/>
      <c r="P265" s="708"/>
      <c r="Q265" s="707"/>
    </row>
    <row r="266" spans="1:17" ht="15">
      <c r="A266" s="703"/>
      <c r="B266" s="330"/>
      <c r="C266" s="710" t="s">
        <v>274</v>
      </c>
      <c r="D266" s="1431">
        <v>21957102</v>
      </c>
      <c r="E266" s="661" t="s">
        <v>275</v>
      </c>
      <c r="H266" s="711"/>
      <c r="I266" s="711"/>
      <c r="J266" s="712">
        <v>2017</v>
      </c>
      <c r="K266" s="592"/>
      <c r="L266" s="1515" t="s">
        <v>276</v>
      </c>
      <c r="M266" s="1515"/>
      <c r="N266" s="1515"/>
      <c r="O266" s="1515"/>
      <c r="P266" s="594"/>
      <c r="Q266" s="592"/>
    </row>
    <row r="267" spans="1:17" ht="12.75">
      <c r="A267" s="703"/>
      <c r="B267" s="330"/>
      <c r="C267" s="710" t="s">
        <v>277</v>
      </c>
      <c r="D267" s="1432">
        <v>2013</v>
      </c>
      <c r="E267" s="710" t="s">
        <v>278</v>
      </c>
      <c r="F267" s="711"/>
      <c r="G267" s="711"/>
      <c r="I267" s="330"/>
      <c r="J267" s="856">
        <v>0</v>
      </c>
      <c r="K267" s="713"/>
      <c r="L267" s="675" t="s">
        <v>477</v>
      </c>
      <c r="P267" s="594"/>
      <c r="Q267" s="713"/>
    </row>
    <row r="268" spans="1:17" ht="12.75">
      <c r="A268" s="703"/>
      <c r="B268" s="330"/>
      <c r="C268" s="710" t="s">
        <v>279</v>
      </c>
      <c r="D268" s="1433">
        <v>4</v>
      </c>
      <c r="E268" s="710" t="s">
        <v>280</v>
      </c>
      <c r="F268" s="711"/>
      <c r="G268" s="711"/>
      <c r="I268" s="330"/>
      <c r="J268" s="714">
        <f>$F$68</f>
        <v>0.12860879667906705</v>
      </c>
      <c r="K268" s="715"/>
      <c r="L268" s="546" t="str">
        <f>"          INPUT TRUE-UP ARR (WITH &amp; WITHOUT INCENTIVES) FROM EACH PRIOR YEAR"</f>
        <v>          INPUT TRUE-UP ARR (WITH &amp; WITHOUT INCENTIVES) FROM EACH PRIOR YEAR</v>
      </c>
      <c r="P268" s="594"/>
      <c r="Q268" s="715"/>
    </row>
    <row r="269" spans="1:17" ht="12.75">
      <c r="A269" s="703"/>
      <c r="B269" s="330"/>
      <c r="C269" s="710" t="s">
        <v>281</v>
      </c>
      <c r="D269" s="716">
        <f>$H$77</f>
        <v>58</v>
      </c>
      <c r="E269" s="710" t="s">
        <v>282</v>
      </c>
      <c r="F269" s="711"/>
      <c r="G269" s="711"/>
      <c r="I269" s="330"/>
      <c r="J269" s="714">
        <f>IF(H260="",J268,$F$67)</f>
        <v>0.12860879667906705</v>
      </c>
      <c r="K269" s="717"/>
      <c r="L269" s="546" t="s">
        <v>364</v>
      </c>
      <c r="M269" s="717"/>
      <c r="N269" s="717"/>
      <c r="O269" s="717"/>
      <c r="P269" s="594"/>
      <c r="Q269" s="717"/>
    </row>
    <row r="270" spans="1:17" ht="13.5" thickBot="1">
      <c r="A270" s="703"/>
      <c r="B270" s="330"/>
      <c r="C270" s="710" t="s">
        <v>283</v>
      </c>
      <c r="D270" s="855" t="s">
        <v>879</v>
      </c>
      <c r="E270" s="718" t="s">
        <v>284</v>
      </c>
      <c r="F270" s="719"/>
      <c r="G270" s="719"/>
      <c r="H270" s="720"/>
      <c r="I270" s="720"/>
      <c r="J270" s="696">
        <f>IF(D266=0,0,D266/D269)</f>
        <v>378570.724137931</v>
      </c>
      <c r="K270" s="675"/>
      <c r="L270" s="675" t="s">
        <v>365</v>
      </c>
      <c r="M270" s="675"/>
      <c r="N270" s="675"/>
      <c r="O270" s="675"/>
      <c r="P270" s="594"/>
      <c r="Q270" s="675"/>
    </row>
    <row r="271" spans="1:17" ht="38.25">
      <c r="A271" s="531"/>
      <c r="B271" s="531"/>
      <c r="C271" s="721" t="s">
        <v>274</v>
      </c>
      <c r="D271" s="722" t="s">
        <v>285</v>
      </c>
      <c r="E271" s="723" t="s">
        <v>286</v>
      </c>
      <c r="F271" s="722" t="s">
        <v>287</v>
      </c>
      <c r="G271" s="722" t="s">
        <v>460</v>
      </c>
      <c r="H271" s="723" t="s">
        <v>358</v>
      </c>
      <c r="I271" s="724" t="s">
        <v>358</v>
      </c>
      <c r="J271" s="721" t="s">
        <v>297</v>
      </c>
      <c r="K271" s="725"/>
      <c r="L271" s="723" t="s">
        <v>360</v>
      </c>
      <c r="M271" s="723" t="s">
        <v>366</v>
      </c>
      <c r="N271" s="723" t="s">
        <v>360</v>
      </c>
      <c r="O271" s="723" t="s">
        <v>368</v>
      </c>
      <c r="P271" s="723" t="s">
        <v>288</v>
      </c>
      <c r="Q271" s="727"/>
    </row>
    <row r="272" spans="2:17" ht="13.5" thickBot="1">
      <c r="B272" s="330"/>
      <c r="C272" s="728" t="s">
        <v>179</v>
      </c>
      <c r="D272" s="729" t="s">
        <v>180</v>
      </c>
      <c r="E272" s="728" t="s">
        <v>38</v>
      </c>
      <c r="F272" s="729" t="s">
        <v>180</v>
      </c>
      <c r="G272" s="729" t="s">
        <v>180</v>
      </c>
      <c r="H272" s="730" t="s">
        <v>300</v>
      </c>
      <c r="I272" s="731" t="s">
        <v>302</v>
      </c>
      <c r="J272" s="732" t="s">
        <v>391</v>
      </c>
      <c r="K272" s="733"/>
      <c r="L272" s="730" t="s">
        <v>289</v>
      </c>
      <c r="M272" s="730" t="s">
        <v>289</v>
      </c>
      <c r="N272" s="730" t="s">
        <v>469</v>
      </c>
      <c r="O272" s="730" t="s">
        <v>469</v>
      </c>
      <c r="P272" s="730" t="s">
        <v>469</v>
      </c>
      <c r="Q272" s="592"/>
    </row>
    <row r="273" spans="2:17" ht="12.75">
      <c r="B273" s="330"/>
      <c r="C273" s="735">
        <f>IF(D267="","-",D267)</f>
        <v>2013</v>
      </c>
      <c r="D273" s="679">
        <f>+D266</f>
        <v>21957102</v>
      </c>
      <c r="E273" s="736">
        <f>+J270/12*(12-D268)</f>
        <v>252380.48275862067</v>
      </c>
      <c r="F273" s="781">
        <f aca="true" t="shared" si="24" ref="F273:F332">+D273-E273</f>
        <v>21704721.51724138</v>
      </c>
      <c r="G273" s="679">
        <f aca="true" t="shared" si="25" ref="G273:G332">+(D273+F273)/2</f>
        <v>21830911.75862069</v>
      </c>
      <c r="H273" s="737">
        <f>+J268*G273+E273</f>
        <v>3060027.7744417232</v>
      </c>
      <c r="I273" s="738">
        <f>+J269*G273+E273</f>
        <v>3060027.7744417232</v>
      </c>
      <c r="J273" s="739">
        <f aca="true" t="shared" si="26" ref="J273:J332">+I273-H273</f>
        <v>0</v>
      </c>
      <c r="K273" s="739"/>
      <c r="L273" s="1255">
        <v>1301059</v>
      </c>
      <c r="M273" s="782">
        <f aca="true" t="shared" si="27" ref="M273:M332">IF(L273&lt;&gt;0,+H273-L273,0)</f>
        <v>1758968.7744417232</v>
      </c>
      <c r="N273" s="1255">
        <v>1301059</v>
      </c>
      <c r="O273" s="782">
        <f aca="true" t="shared" si="28" ref="O273:O332">IF(N273&lt;&gt;0,+I273-N273,0)</f>
        <v>1758968.7744417232</v>
      </c>
      <c r="P273" s="782">
        <f aca="true" t="shared" si="29" ref="P273:P332">+O273-M273</f>
        <v>0</v>
      </c>
      <c r="Q273" s="680"/>
    </row>
    <row r="274" spans="2:17" ht="12.75">
      <c r="B274" s="330"/>
      <c r="C274" s="735">
        <f>IF(D267="","-",+C273+1)</f>
        <v>2014</v>
      </c>
      <c r="D274" s="679">
        <f aca="true" t="shared" si="30" ref="D274:D332">F273</f>
        <v>21704721.51724138</v>
      </c>
      <c r="E274" s="741">
        <f>IF(D274&gt;$J$270,$J$270,D274)</f>
        <v>378570.724137931</v>
      </c>
      <c r="F274" s="741">
        <f t="shared" si="24"/>
        <v>21326150.79310345</v>
      </c>
      <c r="G274" s="679">
        <f t="shared" si="25"/>
        <v>21515436.155172415</v>
      </c>
      <c r="H274" s="736">
        <f>+J268*G274+E274</f>
        <v>3145645.078079948</v>
      </c>
      <c r="I274" s="742">
        <f>+J269*G274+E274</f>
        <v>3145645.078079948</v>
      </c>
      <c r="J274" s="739">
        <f t="shared" si="26"/>
        <v>0</v>
      </c>
      <c r="K274" s="739"/>
      <c r="L274" s="1256">
        <v>3243481</v>
      </c>
      <c r="M274" s="739">
        <f t="shared" si="27"/>
        <v>-97835.9219200518</v>
      </c>
      <c r="N274" s="1256">
        <v>3243481</v>
      </c>
      <c r="O274" s="739">
        <f t="shared" si="28"/>
        <v>-97835.9219200518</v>
      </c>
      <c r="P274" s="739">
        <f t="shared" si="29"/>
        <v>0</v>
      </c>
      <c r="Q274" s="680"/>
    </row>
    <row r="275" spans="2:17" ht="12.75">
      <c r="B275" s="330"/>
      <c r="C275" s="735">
        <f>IF(D267="","-",+C274+1)</f>
        <v>2015</v>
      </c>
      <c r="D275" s="679">
        <f t="shared" si="30"/>
        <v>21326150.79310345</v>
      </c>
      <c r="E275" s="741">
        <f aca="true" t="shared" si="31" ref="E275:E332">IF(D275&gt;$J$270,$J$270,D275)</f>
        <v>378570.724137931</v>
      </c>
      <c r="F275" s="741">
        <f t="shared" si="24"/>
        <v>20947580.068965517</v>
      </c>
      <c r="G275" s="679">
        <f t="shared" si="25"/>
        <v>21136865.431034483</v>
      </c>
      <c r="H275" s="736">
        <f>+J268*G275+E275</f>
        <v>3096957.552790646</v>
      </c>
      <c r="I275" s="742">
        <f>+J269*G275+E275</f>
        <v>3096957.552790646</v>
      </c>
      <c r="J275" s="739">
        <f t="shared" si="26"/>
        <v>0</v>
      </c>
      <c r="K275" s="739"/>
      <c r="L275" s="1256">
        <v>3604460</v>
      </c>
      <c r="M275" s="739">
        <f t="shared" si="27"/>
        <v>-507502.447209354</v>
      </c>
      <c r="N275" s="1256">
        <v>3604460</v>
      </c>
      <c r="O275" s="739">
        <f t="shared" si="28"/>
        <v>-507502.447209354</v>
      </c>
      <c r="P275" s="739">
        <f t="shared" si="29"/>
        <v>0</v>
      </c>
      <c r="Q275" s="680"/>
    </row>
    <row r="276" spans="2:17" ht="12.75">
      <c r="B276" s="330"/>
      <c r="C276" s="1450">
        <f>IF(D267="","-",+C275+1)</f>
        <v>2016</v>
      </c>
      <c r="D276" s="679">
        <f t="shared" si="30"/>
        <v>20947580.068965517</v>
      </c>
      <c r="E276" s="741">
        <f t="shared" si="31"/>
        <v>378570.724137931</v>
      </c>
      <c r="F276" s="741">
        <f t="shared" si="24"/>
        <v>20569009.344827585</v>
      </c>
      <c r="G276" s="679">
        <f t="shared" si="25"/>
        <v>20758294.70689655</v>
      </c>
      <c r="H276" s="736">
        <f>+J268*G276+E276</f>
        <v>3048270.0275013433</v>
      </c>
      <c r="I276" s="742">
        <f>+J269*G276+E276</f>
        <v>3048270.0275013433</v>
      </c>
      <c r="J276" s="739">
        <f t="shared" si="26"/>
        <v>0</v>
      </c>
      <c r="K276" s="739"/>
      <c r="L276" s="1256">
        <v>3506792</v>
      </c>
      <c r="M276" s="739">
        <f t="shared" si="27"/>
        <v>-458521.9724986567</v>
      </c>
      <c r="N276" s="1256">
        <v>3506792</v>
      </c>
      <c r="O276" s="739">
        <f t="shared" si="28"/>
        <v>-458521.9724986567</v>
      </c>
      <c r="P276" s="739">
        <f t="shared" si="29"/>
        <v>0</v>
      </c>
      <c r="Q276" s="680"/>
    </row>
    <row r="277" spans="2:17" ht="12.75">
      <c r="B277" s="330"/>
      <c r="C277" s="1229">
        <f>IF(D267="","-",+C276+1)</f>
        <v>2017</v>
      </c>
      <c r="D277" s="679">
        <f t="shared" si="30"/>
        <v>20569009.344827585</v>
      </c>
      <c r="E277" s="741">
        <f t="shared" si="31"/>
        <v>378570.724137931</v>
      </c>
      <c r="F277" s="741">
        <f t="shared" si="24"/>
        <v>20190438.620689653</v>
      </c>
      <c r="G277" s="679">
        <f t="shared" si="25"/>
        <v>20379723.98275862</v>
      </c>
      <c r="H277" s="736">
        <f>+J268*G277+E277</f>
        <v>2999582.502212041</v>
      </c>
      <c r="I277" s="742">
        <f>+J269*G277+E277</f>
        <v>2999582.502212041</v>
      </c>
      <c r="J277" s="739">
        <f t="shared" si="26"/>
        <v>0</v>
      </c>
      <c r="K277" s="739"/>
      <c r="L277" s="1256">
        <v>3162406</v>
      </c>
      <c r="M277" s="739">
        <f t="shared" si="27"/>
        <v>-162823.49778795894</v>
      </c>
      <c r="N277" s="1256">
        <v>3162406</v>
      </c>
      <c r="O277" s="739">
        <f t="shared" si="28"/>
        <v>-162823.49778795894</v>
      </c>
      <c r="P277" s="739">
        <f t="shared" si="29"/>
        <v>0</v>
      </c>
      <c r="Q277" s="680"/>
    </row>
    <row r="278" spans="2:17" ht="12.75">
      <c r="B278" s="330"/>
      <c r="C278" s="735">
        <f>IF(D267="","-",+C277+1)</f>
        <v>2018</v>
      </c>
      <c r="D278" s="679">
        <f t="shared" si="30"/>
        <v>20190438.620689653</v>
      </c>
      <c r="E278" s="741">
        <f t="shared" si="31"/>
        <v>378570.724137931</v>
      </c>
      <c r="F278" s="741">
        <f t="shared" si="24"/>
        <v>19811867.89655172</v>
      </c>
      <c r="G278" s="679">
        <f t="shared" si="25"/>
        <v>20001153.258620687</v>
      </c>
      <c r="H278" s="736">
        <f>+J268*G278+E278</f>
        <v>2950894.9769227384</v>
      </c>
      <c r="I278" s="742">
        <f>+J269*G278+E278</f>
        <v>2950894.9769227384</v>
      </c>
      <c r="J278" s="739">
        <f t="shared" si="26"/>
        <v>0</v>
      </c>
      <c r="K278" s="739"/>
      <c r="L278" s="1256"/>
      <c r="M278" s="739">
        <f t="shared" si="27"/>
        <v>0</v>
      </c>
      <c r="N278" s="1256"/>
      <c r="O278" s="739">
        <f t="shared" si="28"/>
        <v>0</v>
      </c>
      <c r="P278" s="739">
        <f t="shared" si="29"/>
        <v>0</v>
      </c>
      <c r="Q278" s="680"/>
    </row>
    <row r="279" spans="2:17" ht="12.75">
      <c r="B279" s="330"/>
      <c r="C279" s="735">
        <f>IF(D267="","-",+C278+1)</f>
        <v>2019</v>
      </c>
      <c r="D279" s="679">
        <f t="shared" si="30"/>
        <v>19811867.89655172</v>
      </c>
      <c r="E279" s="741">
        <f t="shared" si="31"/>
        <v>378570.724137931</v>
      </c>
      <c r="F279" s="741">
        <f t="shared" si="24"/>
        <v>19433297.17241379</v>
      </c>
      <c r="G279" s="679">
        <f t="shared" si="25"/>
        <v>19622582.534482755</v>
      </c>
      <c r="H279" s="736">
        <f>+J268*G279+E279</f>
        <v>2902207.451633436</v>
      </c>
      <c r="I279" s="742">
        <f>+J269*G279+E279</f>
        <v>2902207.451633436</v>
      </c>
      <c r="J279" s="739">
        <f t="shared" si="26"/>
        <v>0</v>
      </c>
      <c r="K279" s="739"/>
      <c r="L279" s="1256"/>
      <c r="M279" s="739">
        <f t="shared" si="27"/>
        <v>0</v>
      </c>
      <c r="N279" s="1256"/>
      <c r="O279" s="739">
        <f t="shared" si="28"/>
        <v>0</v>
      </c>
      <c r="P279" s="739">
        <f t="shared" si="29"/>
        <v>0</v>
      </c>
      <c r="Q279" s="680"/>
    </row>
    <row r="280" spans="2:17" ht="12.75">
      <c r="B280" s="330"/>
      <c r="C280" s="735">
        <f>IF(D267="","-",+C279+1)</f>
        <v>2020</v>
      </c>
      <c r="D280" s="679">
        <f t="shared" si="30"/>
        <v>19433297.17241379</v>
      </c>
      <c r="E280" s="741">
        <f t="shared" si="31"/>
        <v>378570.724137931</v>
      </c>
      <c r="F280" s="741">
        <f t="shared" si="24"/>
        <v>19054726.448275857</v>
      </c>
      <c r="G280" s="679">
        <f t="shared" si="25"/>
        <v>19244011.810344823</v>
      </c>
      <c r="H280" s="736">
        <f>+J268*G280+E280</f>
        <v>2853519.9263441334</v>
      </c>
      <c r="I280" s="742">
        <f>+J269*G280+E280</f>
        <v>2853519.9263441334</v>
      </c>
      <c r="J280" s="739">
        <f t="shared" si="26"/>
        <v>0</v>
      </c>
      <c r="K280" s="739"/>
      <c r="L280" s="1256"/>
      <c r="M280" s="739">
        <f t="shared" si="27"/>
        <v>0</v>
      </c>
      <c r="N280" s="1256"/>
      <c r="O280" s="739">
        <f t="shared" si="28"/>
        <v>0</v>
      </c>
      <c r="P280" s="739">
        <f t="shared" si="29"/>
        <v>0</v>
      </c>
      <c r="Q280" s="680"/>
    </row>
    <row r="281" spans="2:17" ht="12.75">
      <c r="B281" s="330"/>
      <c r="C281" s="735">
        <f>IF(D267="","-",+C280+1)</f>
        <v>2021</v>
      </c>
      <c r="D281" s="679">
        <f t="shared" si="30"/>
        <v>19054726.448275857</v>
      </c>
      <c r="E281" s="741">
        <f t="shared" si="31"/>
        <v>378570.724137931</v>
      </c>
      <c r="F281" s="741">
        <f t="shared" si="24"/>
        <v>18676155.724137925</v>
      </c>
      <c r="G281" s="679">
        <f t="shared" si="25"/>
        <v>18865441.08620689</v>
      </c>
      <c r="H281" s="736">
        <f>+J268*G281+E281</f>
        <v>2804832.4010548308</v>
      </c>
      <c r="I281" s="742">
        <f>+J269*G281+E281</f>
        <v>2804832.4010548308</v>
      </c>
      <c r="J281" s="739">
        <f t="shared" si="26"/>
        <v>0</v>
      </c>
      <c r="K281" s="739"/>
      <c r="L281" s="1256"/>
      <c r="M281" s="739">
        <f t="shared" si="27"/>
        <v>0</v>
      </c>
      <c r="N281" s="1256"/>
      <c r="O281" s="739">
        <f t="shared" si="28"/>
        <v>0</v>
      </c>
      <c r="P281" s="739">
        <f t="shared" si="29"/>
        <v>0</v>
      </c>
      <c r="Q281" s="680"/>
    </row>
    <row r="282" spans="2:17" ht="12.75">
      <c r="B282" s="330"/>
      <c r="C282" s="1258">
        <f>IF(D267="","-",+C281+1)</f>
        <v>2022</v>
      </c>
      <c r="D282" s="679">
        <f t="shared" si="30"/>
        <v>18676155.724137925</v>
      </c>
      <c r="E282" s="741">
        <f t="shared" si="31"/>
        <v>378570.724137931</v>
      </c>
      <c r="F282" s="741">
        <f t="shared" si="24"/>
        <v>18297584.999999993</v>
      </c>
      <c r="G282" s="679">
        <f t="shared" si="25"/>
        <v>18486870.36206896</v>
      </c>
      <c r="H282" s="736">
        <f>+J268*G282+E282</f>
        <v>2756144.8757655285</v>
      </c>
      <c r="I282" s="742">
        <f>+J269*G282+E282</f>
        <v>2756144.8757655285</v>
      </c>
      <c r="J282" s="739">
        <f t="shared" si="26"/>
        <v>0</v>
      </c>
      <c r="K282" s="739"/>
      <c r="L282" s="1256"/>
      <c r="M282" s="739">
        <f t="shared" si="27"/>
        <v>0</v>
      </c>
      <c r="N282" s="1256"/>
      <c r="O282" s="739">
        <f t="shared" si="28"/>
        <v>0</v>
      </c>
      <c r="P282" s="739">
        <f t="shared" si="29"/>
        <v>0</v>
      </c>
      <c r="Q282" s="680"/>
    </row>
    <row r="283" spans="2:17" ht="12.75">
      <c r="B283" s="330"/>
      <c r="C283" s="735">
        <f>IF(D267="","-",+C282+1)</f>
        <v>2023</v>
      </c>
      <c r="D283" s="679">
        <f t="shared" si="30"/>
        <v>18297584.999999993</v>
      </c>
      <c r="E283" s="741">
        <f t="shared" si="31"/>
        <v>378570.724137931</v>
      </c>
      <c r="F283" s="741">
        <f t="shared" si="24"/>
        <v>17919014.27586206</v>
      </c>
      <c r="G283" s="679">
        <f t="shared" si="25"/>
        <v>18108299.637931027</v>
      </c>
      <c r="H283" s="736">
        <f>+J268*G283+E283</f>
        <v>2707457.350476226</v>
      </c>
      <c r="I283" s="742">
        <f>+J269*G283+E283</f>
        <v>2707457.350476226</v>
      </c>
      <c r="J283" s="739">
        <f t="shared" si="26"/>
        <v>0</v>
      </c>
      <c r="K283" s="739"/>
      <c r="L283" s="743"/>
      <c r="M283" s="739">
        <f t="shared" si="27"/>
        <v>0</v>
      </c>
      <c r="N283" s="743"/>
      <c r="O283" s="739">
        <f t="shared" si="28"/>
        <v>0</v>
      </c>
      <c r="P283" s="739">
        <f t="shared" si="29"/>
        <v>0</v>
      </c>
      <c r="Q283" s="680"/>
    </row>
    <row r="284" spans="2:17" ht="12.75">
      <c r="B284" s="330"/>
      <c r="C284" s="735">
        <f>IF(D267="","-",+C283+1)</f>
        <v>2024</v>
      </c>
      <c r="D284" s="679">
        <f t="shared" si="30"/>
        <v>17919014.27586206</v>
      </c>
      <c r="E284" s="741">
        <f t="shared" si="31"/>
        <v>378570.724137931</v>
      </c>
      <c r="F284" s="741">
        <f t="shared" si="24"/>
        <v>17540443.55172413</v>
      </c>
      <c r="G284" s="679">
        <f t="shared" si="25"/>
        <v>17729728.913793094</v>
      </c>
      <c r="H284" s="736">
        <f>+J268*G284+E284</f>
        <v>2658769.8251869236</v>
      </c>
      <c r="I284" s="742">
        <f>+J269*G284+E284</f>
        <v>2658769.8251869236</v>
      </c>
      <c r="J284" s="739">
        <f t="shared" si="26"/>
        <v>0</v>
      </c>
      <c r="K284" s="739"/>
      <c r="L284" s="743"/>
      <c r="M284" s="739">
        <f t="shared" si="27"/>
        <v>0</v>
      </c>
      <c r="N284" s="743"/>
      <c r="O284" s="739">
        <f t="shared" si="28"/>
        <v>0</v>
      </c>
      <c r="P284" s="739">
        <f t="shared" si="29"/>
        <v>0</v>
      </c>
      <c r="Q284" s="680"/>
    </row>
    <row r="285" spans="2:17" ht="12.75">
      <c r="B285" s="330"/>
      <c r="C285" s="735">
        <f>IF(D267="","-",+C284+1)</f>
        <v>2025</v>
      </c>
      <c r="D285" s="679">
        <f t="shared" si="30"/>
        <v>17540443.55172413</v>
      </c>
      <c r="E285" s="741">
        <f t="shared" si="31"/>
        <v>378570.724137931</v>
      </c>
      <c r="F285" s="741">
        <f t="shared" si="24"/>
        <v>17161872.827586196</v>
      </c>
      <c r="G285" s="679">
        <f t="shared" si="25"/>
        <v>17351158.189655162</v>
      </c>
      <c r="H285" s="736">
        <f>+J268*G285+E285</f>
        <v>2610082.299897621</v>
      </c>
      <c r="I285" s="742">
        <f>+J269*G285+E285</f>
        <v>2610082.299897621</v>
      </c>
      <c r="J285" s="739">
        <f t="shared" si="26"/>
        <v>0</v>
      </c>
      <c r="K285" s="739"/>
      <c r="L285" s="743"/>
      <c r="M285" s="739">
        <f t="shared" si="27"/>
        <v>0</v>
      </c>
      <c r="N285" s="743"/>
      <c r="O285" s="739">
        <f t="shared" si="28"/>
        <v>0</v>
      </c>
      <c r="P285" s="739">
        <f t="shared" si="29"/>
        <v>0</v>
      </c>
      <c r="Q285" s="680"/>
    </row>
    <row r="286" spans="2:17" ht="12.75">
      <c r="B286" s="330"/>
      <c r="C286" s="735">
        <f>IF(D267="","-",+C285+1)</f>
        <v>2026</v>
      </c>
      <c r="D286" s="679">
        <f t="shared" si="30"/>
        <v>17161872.827586196</v>
      </c>
      <c r="E286" s="741">
        <f t="shared" si="31"/>
        <v>378570.724137931</v>
      </c>
      <c r="F286" s="741">
        <f t="shared" si="24"/>
        <v>16783302.103448264</v>
      </c>
      <c r="G286" s="679">
        <f t="shared" si="25"/>
        <v>16972587.46551723</v>
      </c>
      <c r="H286" s="736">
        <f>+J268*G286+E286</f>
        <v>2561394.7746083187</v>
      </c>
      <c r="I286" s="742">
        <f>+J269*G286+E286</f>
        <v>2561394.7746083187</v>
      </c>
      <c r="J286" s="739">
        <f t="shared" si="26"/>
        <v>0</v>
      </c>
      <c r="K286" s="739"/>
      <c r="L286" s="743"/>
      <c r="M286" s="739">
        <f t="shared" si="27"/>
        <v>0</v>
      </c>
      <c r="N286" s="743"/>
      <c r="O286" s="739">
        <f t="shared" si="28"/>
        <v>0</v>
      </c>
      <c r="P286" s="739">
        <f t="shared" si="29"/>
        <v>0</v>
      </c>
      <c r="Q286" s="680"/>
    </row>
    <row r="287" spans="2:17" ht="12.75">
      <c r="B287" s="330"/>
      <c r="C287" s="735">
        <f>IF(D267="","-",+C286+1)</f>
        <v>2027</v>
      </c>
      <c r="D287" s="679">
        <f t="shared" si="30"/>
        <v>16783302.103448264</v>
      </c>
      <c r="E287" s="741">
        <f t="shared" si="31"/>
        <v>378570.724137931</v>
      </c>
      <c r="F287" s="741">
        <f t="shared" si="24"/>
        <v>16404731.379310334</v>
      </c>
      <c r="G287" s="679">
        <f t="shared" si="25"/>
        <v>16594016.741379298</v>
      </c>
      <c r="H287" s="736">
        <f>+J268*G287+E287</f>
        <v>2512707.249319016</v>
      </c>
      <c r="I287" s="742">
        <f>+J269*G287+E287</f>
        <v>2512707.249319016</v>
      </c>
      <c r="J287" s="739">
        <f t="shared" si="26"/>
        <v>0</v>
      </c>
      <c r="K287" s="739"/>
      <c r="L287" s="743"/>
      <c r="M287" s="739">
        <f t="shared" si="27"/>
        <v>0</v>
      </c>
      <c r="N287" s="743"/>
      <c r="O287" s="739">
        <f t="shared" si="28"/>
        <v>0</v>
      </c>
      <c r="P287" s="739">
        <f t="shared" si="29"/>
        <v>0</v>
      </c>
      <c r="Q287" s="680"/>
    </row>
    <row r="288" spans="2:17" ht="12.75">
      <c r="B288" s="330"/>
      <c r="C288" s="735">
        <f>IF(D267="","-",+C287+1)</f>
        <v>2028</v>
      </c>
      <c r="D288" s="679">
        <f t="shared" si="30"/>
        <v>16404731.379310334</v>
      </c>
      <c r="E288" s="741">
        <f t="shared" si="31"/>
        <v>378570.724137931</v>
      </c>
      <c r="F288" s="741">
        <f t="shared" si="24"/>
        <v>16026160.655172404</v>
      </c>
      <c r="G288" s="679">
        <f t="shared" si="25"/>
        <v>16215446.01724137</v>
      </c>
      <c r="H288" s="736">
        <f>+J268*G288+E288</f>
        <v>2464019.724029714</v>
      </c>
      <c r="I288" s="742">
        <f>+J269*G288+E288</f>
        <v>2464019.724029714</v>
      </c>
      <c r="J288" s="739">
        <f t="shared" si="26"/>
        <v>0</v>
      </c>
      <c r="K288" s="739"/>
      <c r="L288" s="743"/>
      <c r="M288" s="739">
        <f t="shared" si="27"/>
        <v>0</v>
      </c>
      <c r="N288" s="743"/>
      <c r="O288" s="739">
        <f t="shared" si="28"/>
        <v>0</v>
      </c>
      <c r="P288" s="739">
        <f t="shared" si="29"/>
        <v>0</v>
      </c>
      <c r="Q288" s="680"/>
    </row>
    <row r="289" spans="2:17" ht="12.75">
      <c r="B289" s="330"/>
      <c r="C289" s="735">
        <f>IF(D267="","-",+C288+1)</f>
        <v>2029</v>
      </c>
      <c r="D289" s="679">
        <f t="shared" si="30"/>
        <v>16026160.655172404</v>
      </c>
      <c r="E289" s="741">
        <f t="shared" si="31"/>
        <v>378570.724137931</v>
      </c>
      <c r="F289" s="741">
        <f t="shared" si="24"/>
        <v>15647589.931034474</v>
      </c>
      <c r="G289" s="679">
        <f t="shared" si="25"/>
        <v>15836875.293103438</v>
      </c>
      <c r="H289" s="736">
        <f>+J268*G289+E289</f>
        <v>2415332.1987404115</v>
      </c>
      <c r="I289" s="742">
        <f>+J269*G289+E289</f>
        <v>2415332.1987404115</v>
      </c>
      <c r="J289" s="739">
        <f t="shared" si="26"/>
        <v>0</v>
      </c>
      <c r="K289" s="739"/>
      <c r="L289" s="743"/>
      <c r="M289" s="739">
        <f t="shared" si="27"/>
        <v>0</v>
      </c>
      <c r="N289" s="743"/>
      <c r="O289" s="739">
        <f t="shared" si="28"/>
        <v>0</v>
      </c>
      <c r="P289" s="739">
        <f t="shared" si="29"/>
        <v>0</v>
      </c>
      <c r="Q289" s="680"/>
    </row>
    <row r="290" spans="2:17" ht="12.75">
      <c r="B290" s="330"/>
      <c r="C290" s="735">
        <f>IF(D267="","-",+C289+1)</f>
        <v>2030</v>
      </c>
      <c r="D290" s="679">
        <f t="shared" si="30"/>
        <v>15647589.931034474</v>
      </c>
      <c r="E290" s="741">
        <f t="shared" si="31"/>
        <v>378570.724137931</v>
      </c>
      <c r="F290" s="741">
        <f t="shared" si="24"/>
        <v>15269019.206896544</v>
      </c>
      <c r="G290" s="679">
        <f t="shared" si="25"/>
        <v>15458304.56896551</v>
      </c>
      <c r="H290" s="736">
        <f>+J268*G290+E290</f>
        <v>2366644.6734511093</v>
      </c>
      <c r="I290" s="742">
        <f>+J269*G290+E290</f>
        <v>2366644.6734511093</v>
      </c>
      <c r="J290" s="739">
        <f t="shared" si="26"/>
        <v>0</v>
      </c>
      <c r="K290" s="739"/>
      <c r="L290" s="743"/>
      <c r="M290" s="739">
        <f t="shared" si="27"/>
        <v>0</v>
      </c>
      <c r="N290" s="743"/>
      <c r="O290" s="739">
        <f t="shared" si="28"/>
        <v>0</v>
      </c>
      <c r="P290" s="739">
        <f t="shared" si="29"/>
        <v>0</v>
      </c>
      <c r="Q290" s="680"/>
    </row>
    <row r="291" spans="2:17" ht="12.75">
      <c r="B291" s="330"/>
      <c r="C291" s="735">
        <f>IF(D267="","-",+C290+1)</f>
        <v>2031</v>
      </c>
      <c r="D291" s="679">
        <f t="shared" si="30"/>
        <v>15269019.206896544</v>
      </c>
      <c r="E291" s="741">
        <f t="shared" si="31"/>
        <v>378570.724137931</v>
      </c>
      <c r="F291" s="741">
        <f t="shared" si="24"/>
        <v>14890448.482758613</v>
      </c>
      <c r="G291" s="679">
        <f t="shared" si="25"/>
        <v>15079733.844827577</v>
      </c>
      <c r="H291" s="736">
        <f>+J268*G291+E291</f>
        <v>2317957.148161807</v>
      </c>
      <c r="I291" s="742">
        <f>+J269*G291+E291</f>
        <v>2317957.148161807</v>
      </c>
      <c r="J291" s="739">
        <f t="shared" si="26"/>
        <v>0</v>
      </c>
      <c r="K291" s="739"/>
      <c r="L291" s="743"/>
      <c r="M291" s="739">
        <f t="shared" si="27"/>
        <v>0</v>
      </c>
      <c r="N291" s="743"/>
      <c r="O291" s="739">
        <f t="shared" si="28"/>
        <v>0</v>
      </c>
      <c r="P291" s="739">
        <f t="shared" si="29"/>
        <v>0</v>
      </c>
      <c r="Q291" s="680"/>
    </row>
    <row r="292" spans="2:17" ht="12.75">
      <c r="B292" s="330"/>
      <c r="C292" s="735">
        <f>IF(D267="","-",+C291+1)</f>
        <v>2032</v>
      </c>
      <c r="D292" s="679">
        <f t="shared" si="30"/>
        <v>14890448.482758613</v>
      </c>
      <c r="E292" s="741">
        <f t="shared" si="31"/>
        <v>378570.724137931</v>
      </c>
      <c r="F292" s="741">
        <f t="shared" si="24"/>
        <v>14511877.758620683</v>
      </c>
      <c r="G292" s="679">
        <f t="shared" si="25"/>
        <v>14701163.12068965</v>
      </c>
      <c r="H292" s="736">
        <f>+J268*G292+E292</f>
        <v>2269269.622872505</v>
      </c>
      <c r="I292" s="742">
        <f>+J269*G292+E292</f>
        <v>2269269.622872505</v>
      </c>
      <c r="J292" s="739">
        <f t="shared" si="26"/>
        <v>0</v>
      </c>
      <c r="K292" s="739"/>
      <c r="L292" s="743"/>
      <c r="M292" s="739">
        <f t="shared" si="27"/>
        <v>0</v>
      </c>
      <c r="N292" s="743"/>
      <c r="O292" s="739">
        <f t="shared" si="28"/>
        <v>0</v>
      </c>
      <c r="P292" s="739">
        <f t="shared" si="29"/>
        <v>0</v>
      </c>
      <c r="Q292" s="680"/>
    </row>
    <row r="293" spans="2:17" ht="12.75">
      <c r="B293" s="330"/>
      <c r="C293" s="735">
        <f>IF(D267="","-",+C292+1)</f>
        <v>2033</v>
      </c>
      <c r="D293" s="679">
        <f t="shared" si="30"/>
        <v>14511877.758620683</v>
      </c>
      <c r="E293" s="741">
        <f t="shared" si="31"/>
        <v>378570.724137931</v>
      </c>
      <c r="F293" s="741">
        <f t="shared" si="24"/>
        <v>14133307.034482753</v>
      </c>
      <c r="G293" s="679">
        <f t="shared" si="25"/>
        <v>14322592.396551717</v>
      </c>
      <c r="H293" s="736">
        <f>+J268*G293+E293</f>
        <v>2220582.0975832026</v>
      </c>
      <c r="I293" s="742">
        <f>+J269*G293+E293</f>
        <v>2220582.0975832026</v>
      </c>
      <c r="J293" s="739">
        <f t="shared" si="26"/>
        <v>0</v>
      </c>
      <c r="K293" s="739"/>
      <c r="L293" s="743"/>
      <c r="M293" s="739">
        <f t="shared" si="27"/>
        <v>0</v>
      </c>
      <c r="N293" s="743"/>
      <c r="O293" s="739">
        <f t="shared" si="28"/>
        <v>0</v>
      </c>
      <c r="P293" s="739">
        <f t="shared" si="29"/>
        <v>0</v>
      </c>
      <c r="Q293" s="680"/>
    </row>
    <row r="294" spans="2:17" ht="12.75">
      <c r="B294" s="330"/>
      <c r="C294" s="735">
        <f>IF(D267="","-",+C293+1)</f>
        <v>2034</v>
      </c>
      <c r="D294" s="679">
        <f t="shared" si="30"/>
        <v>14133307.034482753</v>
      </c>
      <c r="E294" s="741">
        <f t="shared" si="31"/>
        <v>378570.724137931</v>
      </c>
      <c r="F294" s="741">
        <f t="shared" si="24"/>
        <v>13754736.310344823</v>
      </c>
      <c r="G294" s="679">
        <f t="shared" si="25"/>
        <v>13944021.672413789</v>
      </c>
      <c r="H294" s="736">
        <f>+J268*G294+E294</f>
        <v>2171894.5722939004</v>
      </c>
      <c r="I294" s="742">
        <f>+J269*G294+E294</f>
        <v>2171894.5722939004</v>
      </c>
      <c r="J294" s="739">
        <f t="shared" si="26"/>
        <v>0</v>
      </c>
      <c r="K294" s="739"/>
      <c r="L294" s="743"/>
      <c r="M294" s="739">
        <f t="shared" si="27"/>
        <v>0</v>
      </c>
      <c r="N294" s="743"/>
      <c r="O294" s="739">
        <f t="shared" si="28"/>
        <v>0</v>
      </c>
      <c r="P294" s="739">
        <f t="shared" si="29"/>
        <v>0</v>
      </c>
      <c r="Q294" s="680"/>
    </row>
    <row r="295" spans="2:17" ht="12.75">
      <c r="B295" s="330"/>
      <c r="C295" s="735">
        <f>IF(D267="","-",+C294+1)</f>
        <v>2035</v>
      </c>
      <c r="D295" s="679">
        <f t="shared" si="30"/>
        <v>13754736.310344823</v>
      </c>
      <c r="E295" s="741">
        <f t="shared" si="31"/>
        <v>378570.724137931</v>
      </c>
      <c r="F295" s="741">
        <f t="shared" si="24"/>
        <v>13376165.586206893</v>
      </c>
      <c r="G295" s="679">
        <f t="shared" si="25"/>
        <v>13565450.948275857</v>
      </c>
      <c r="H295" s="736">
        <f>+J268*G295+E295</f>
        <v>2123207.047004598</v>
      </c>
      <c r="I295" s="742">
        <f>+J269*G295+E295</f>
        <v>2123207.047004598</v>
      </c>
      <c r="J295" s="739">
        <f t="shared" si="26"/>
        <v>0</v>
      </c>
      <c r="K295" s="739"/>
      <c r="L295" s="743"/>
      <c r="M295" s="739">
        <f t="shared" si="27"/>
        <v>0</v>
      </c>
      <c r="N295" s="743"/>
      <c r="O295" s="739">
        <f t="shared" si="28"/>
        <v>0</v>
      </c>
      <c r="P295" s="739">
        <f t="shared" si="29"/>
        <v>0</v>
      </c>
      <c r="Q295" s="680"/>
    </row>
    <row r="296" spans="2:17" ht="12.75">
      <c r="B296" s="330"/>
      <c r="C296" s="735">
        <f>IF(D267="","-",+C295+1)</f>
        <v>2036</v>
      </c>
      <c r="D296" s="679">
        <f t="shared" si="30"/>
        <v>13376165.586206893</v>
      </c>
      <c r="E296" s="741">
        <f t="shared" si="31"/>
        <v>378570.724137931</v>
      </c>
      <c r="F296" s="741">
        <f t="shared" si="24"/>
        <v>12997594.862068962</v>
      </c>
      <c r="G296" s="679">
        <f t="shared" si="25"/>
        <v>13186880.224137928</v>
      </c>
      <c r="H296" s="736">
        <f>+J268*G296+E296</f>
        <v>2074519.521715296</v>
      </c>
      <c r="I296" s="742">
        <f>+J269*G296+E296</f>
        <v>2074519.521715296</v>
      </c>
      <c r="J296" s="739">
        <f t="shared" si="26"/>
        <v>0</v>
      </c>
      <c r="K296" s="739"/>
      <c r="L296" s="743"/>
      <c r="M296" s="739">
        <f t="shared" si="27"/>
        <v>0</v>
      </c>
      <c r="N296" s="743"/>
      <c r="O296" s="739">
        <f t="shared" si="28"/>
        <v>0</v>
      </c>
      <c r="P296" s="739">
        <f t="shared" si="29"/>
        <v>0</v>
      </c>
      <c r="Q296" s="680"/>
    </row>
    <row r="297" spans="2:17" ht="12.75">
      <c r="B297" s="330"/>
      <c r="C297" s="735">
        <f>IF(D267="","-",+C296+1)</f>
        <v>2037</v>
      </c>
      <c r="D297" s="679">
        <f t="shared" si="30"/>
        <v>12997594.862068962</v>
      </c>
      <c r="E297" s="741">
        <f t="shared" si="31"/>
        <v>378570.724137931</v>
      </c>
      <c r="F297" s="741">
        <f t="shared" si="24"/>
        <v>12619024.137931032</v>
      </c>
      <c r="G297" s="679">
        <f t="shared" si="25"/>
        <v>12808309.499999996</v>
      </c>
      <c r="H297" s="736">
        <f>+J268*G297+E297</f>
        <v>2025831.9964259933</v>
      </c>
      <c r="I297" s="742">
        <f>+J269*G297+E297</f>
        <v>2025831.9964259933</v>
      </c>
      <c r="J297" s="739">
        <f t="shared" si="26"/>
        <v>0</v>
      </c>
      <c r="K297" s="739"/>
      <c r="L297" s="743"/>
      <c r="M297" s="739">
        <f t="shared" si="27"/>
        <v>0</v>
      </c>
      <c r="N297" s="743"/>
      <c r="O297" s="739">
        <f t="shared" si="28"/>
        <v>0</v>
      </c>
      <c r="P297" s="739">
        <f t="shared" si="29"/>
        <v>0</v>
      </c>
      <c r="Q297" s="680"/>
    </row>
    <row r="298" spans="2:17" ht="12.75">
      <c r="B298" s="330"/>
      <c r="C298" s="735">
        <f>IF(D267="","-",+C297+1)</f>
        <v>2038</v>
      </c>
      <c r="D298" s="679">
        <f t="shared" si="30"/>
        <v>12619024.137931032</v>
      </c>
      <c r="E298" s="741">
        <f t="shared" si="31"/>
        <v>378570.724137931</v>
      </c>
      <c r="F298" s="741">
        <f t="shared" si="24"/>
        <v>12240453.413793102</v>
      </c>
      <c r="G298" s="679">
        <f t="shared" si="25"/>
        <v>12429738.775862068</v>
      </c>
      <c r="H298" s="736">
        <f>+J268*G298+E298</f>
        <v>1977144.4711366915</v>
      </c>
      <c r="I298" s="742">
        <f>+J269*G298+E298</f>
        <v>1977144.4711366915</v>
      </c>
      <c r="J298" s="739">
        <f t="shared" si="26"/>
        <v>0</v>
      </c>
      <c r="K298" s="739"/>
      <c r="L298" s="743"/>
      <c r="M298" s="739">
        <f t="shared" si="27"/>
        <v>0</v>
      </c>
      <c r="N298" s="743"/>
      <c r="O298" s="739">
        <f t="shared" si="28"/>
        <v>0</v>
      </c>
      <c r="P298" s="739">
        <f t="shared" si="29"/>
        <v>0</v>
      </c>
      <c r="Q298" s="680"/>
    </row>
    <row r="299" spans="2:17" ht="12.75">
      <c r="B299" s="330"/>
      <c r="C299" s="735">
        <f>IF(D267="","-",+C298+1)</f>
        <v>2039</v>
      </c>
      <c r="D299" s="679">
        <f t="shared" si="30"/>
        <v>12240453.413793102</v>
      </c>
      <c r="E299" s="741">
        <f t="shared" si="31"/>
        <v>378570.724137931</v>
      </c>
      <c r="F299" s="741">
        <f t="shared" si="24"/>
        <v>11861882.689655172</v>
      </c>
      <c r="G299" s="679">
        <f t="shared" si="25"/>
        <v>12051168.051724136</v>
      </c>
      <c r="H299" s="736">
        <f>+J268*G299+E299</f>
        <v>1928456.9458473888</v>
      </c>
      <c r="I299" s="742">
        <f>+J269*G299+E299</f>
        <v>1928456.9458473888</v>
      </c>
      <c r="J299" s="739">
        <f t="shared" si="26"/>
        <v>0</v>
      </c>
      <c r="K299" s="739"/>
      <c r="L299" s="743"/>
      <c r="M299" s="739">
        <f t="shared" si="27"/>
        <v>0</v>
      </c>
      <c r="N299" s="743"/>
      <c r="O299" s="739">
        <f t="shared" si="28"/>
        <v>0</v>
      </c>
      <c r="P299" s="739">
        <f t="shared" si="29"/>
        <v>0</v>
      </c>
      <c r="Q299" s="680"/>
    </row>
    <row r="300" spans="2:17" ht="12.75">
      <c r="B300" s="330"/>
      <c r="C300" s="735">
        <f>IF(D267="","-",+C299+1)</f>
        <v>2040</v>
      </c>
      <c r="D300" s="679">
        <f t="shared" si="30"/>
        <v>11861882.689655172</v>
      </c>
      <c r="E300" s="741">
        <f t="shared" si="31"/>
        <v>378570.724137931</v>
      </c>
      <c r="F300" s="741">
        <f t="shared" si="24"/>
        <v>11483311.965517242</v>
      </c>
      <c r="G300" s="679">
        <f t="shared" si="25"/>
        <v>11672597.327586208</v>
      </c>
      <c r="H300" s="736">
        <f>+J268*G300+E300</f>
        <v>1879769.420558087</v>
      </c>
      <c r="I300" s="742">
        <f>+J269*G300+E300</f>
        <v>1879769.420558087</v>
      </c>
      <c r="J300" s="739">
        <f t="shared" si="26"/>
        <v>0</v>
      </c>
      <c r="K300" s="739"/>
      <c r="L300" s="743"/>
      <c r="M300" s="739">
        <f t="shared" si="27"/>
        <v>0</v>
      </c>
      <c r="N300" s="743"/>
      <c r="O300" s="739">
        <f t="shared" si="28"/>
        <v>0</v>
      </c>
      <c r="P300" s="739">
        <f t="shared" si="29"/>
        <v>0</v>
      </c>
      <c r="Q300" s="680"/>
    </row>
    <row r="301" spans="2:17" ht="12.75">
      <c r="B301" s="330"/>
      <c r="C301" s="735">
        <f>IF(D267="","-",+C300+1)</f>
        <v>2041</v>
      </c>
      <c r="D301" s="679">
        <f t="shared" si="30"/>
        <v>11483311.965517242</v>
      </c>
      <c r="E301" s="741">
        <f t="shared" si="31"/>
        <v>378570.724137931</v>
      </c>
      <c r="F301" s="741">
        <f t="shared" si="24"/>
        <v>11104741.241379311</v>
      </c>
      <c r="G301" s="679">
        <f t="shared" si="25"/>
        <v>11294026.603448275</v>
      </c>
      <c r="H301" s="736">
        <f>+J268*G301+E301</f>
        <v>1831081.8952687844</v>
      </c>
      <c r="I301" s="742">
        <f>+J269*G301+E301</f>
        <v>1831081.8952687844</v>
      </c>
      <c r="J301" s="739">
        <f t="shared" si="26"/>
        <v>0</v>
      </c>
      <c r="K301" s="739"/>
      <c r="L301" s="743"/>
      <c r="M301" s="739">
        <f t="shared" si="27"/>
        <v>0</v>
      </c>
      <c r="N301" s="743"/>
      <c r="O301" s="739">
        <f t="shared" si="28"/>
        <v>0</v>
      </c>
      <c r="P301" s="739">
        <f t="shared" si="29"/>
        <v>0</v>
      </c>
      <c r="Q301" s="680"/>
    </row>
    <row r="302" spans="2:17" ht="12.75">
      <c r="B302" s="330"/>
      <c r="C302" s="735">
        <f>IF(D267="","-",+C301+1)</f>
        <v>2042</v>
      </c>
      <c r="D302" s="679">
        <f t="shared" si="30"/>
        <v>11104741.241379311</v>
      </c>
      <c r="E302" s="741">
        <f t="shared" si="31"/>
        <v>378570.724137931</v>
      </c>
      <c r="F302" s="741">
        <f t="shared" si="24"/>
        <v>10726170.517241381</v>
      </c>
      <c r="G302" s="679">
        <f t="shared" si="25"/>
        <v>10915455.879310347</v>
      </c>
      <c r="H302" s="736">
        <f>+J268*G302+E302</f>
        <v>1782394.3699794826</v>
      </c>
      <c r="I302" s="742">
        <f>+J269*G302+E302</f>
        <v>1782394.3699794826</v>
      </c>
      <c r="J302" s="739">
        <f t="shared" si="26"/>
        <v>0</v>
      </c>
      <c r="K302" s="739"/>
      <c r="L302" s="743"/>
      <c r="M302" s="739">
        <f t="shared" si="27"/>
        <v>0</v>
      </c>
      <c r="N302" s="743"/>
      <c r="O302" s="739">
        <f t="shared" si="28"/>
        <v>0</v>
      </c>
      <c r="P302" s="739">
        <f t="shared" si="29"/>
        <v>0</v>
      </c>
      <c r="Q302" s="680"/>
    </row>
    <row r="303" spans="2:17" ht="12.75">
      <c r="B303" s="330"/>
      <c r="C303" s="735">
        <f>IF(D267="","-",+C302+1)</f>
        <v>2043</v>
      </c>
      <c r="D303" s="679">
        <f t="shared" si="30"/>
        <v>10726170.517241381</v>
      </c>
      <c r="E303" s="741">
        <f t="shared" si="31"/>
        <v>378570.724137931</v>
      </c>
      <c r="F303" s="741">
        <f t="shared" si="24"/>
        <v>10347599.79310345</v>
      </c>
      <c r="G303" s="679">
        <f t="shared" si="25"/>
        <v>10536885.155172415</v>
      </c>
      <c r="H303" s="736">
        <f>+J268*G303+E303</f>
        <v>1733706.84469018</v>
      </c>
      <c r="I303" s="742">
        <f>+J269*G303+E303</f>
        <v>1733706.84469018</v>
      </c>
      <c r="J303" s="739">
        <f t="shared" si="26"/>
        <v>0</v>
      </c>
      <c r="K303" s="739"/>
      <c r="L303" s="743"/>
      <c r="M303" s="739">
        <f t="shared" si="27"/>
        <v>0</v>
      </c>
      <c r="N303" s="743"/>
      <c r="O303" s="739">
        <f t="shared" si="28"/>
        <v>0</v>
      </c>
      <c r="P303" s="739">
        <f t="shared" si="29"/>
        <v>0</v>
      </c>
      <c r="Q303" s="680"/>
    </row>
    <row r="304" spans="2:17" ht="12.75">
      <c r="B304" s="330"/>
      <c r="C304" s="735">
        <f>IF(D267="","-",+C303+1)</f>
        <v>2044</v>
      </c>
      <c r="D304" s="679">
        <f t="shared" si="30"/>
        <v>10347599.79310345</v>
      </c>
      <c r="E304" s="741">
        <f t="shared" si="31"/>
        <v>378570.724137931</v>
      </c>
      <c r="F304" s="741">
        <f t="shared" si="24"/>
        <v>9969029.06896552</v>
      </c>
      <c r="G304" s="679">
        <f t="shared" si="25"/>
        <v>10158314.431034487</v>
      </c>
      <c r="H304" s="736">
        <f>+J268*G304+E304</f>
        <v>1685019.3194008782</v>
      </c>
      <c r="I304" s="742">
        <f>+J269*G304+E304</f>
        <v>1685019.3194008782</v>
      </c>
      <c r="J304" s="739">
        <f t="shared" si="26"/>
        <v>0</v>
      </c>
      <c r="K304" s="739"/>
      <c r="L304" s="743"/>
      <c r="M304" s="739">
        <f t="shared" si="27"/>
        <v>0</v>
      </c>
      <c r="N304" s="743"/>
      <c r="O304" s="739">
        <f t="shared" si="28"/>
        <v>0</v>
      </c>
      <c r="P304" s="739">
        <f t="shared" si="29"/>
        <v>0</v>
      </c>
      <c r="Q304" s="680"/>
    </row>
    <row r="305" spans="2:17" ht="12.75">
      <c r="B305" s="330"/>
      <c r="C305" s="735">
        <f>IF(D267="","-",+C304+1)</f>
        <v>2045</v>
      </c>
      <c r="D305" s="679">
        <f t="shared" si="30"/>
        <v>9969029.06896552</v>
      </c>
      <c r="E305" s="741">
        <f t="shared" si="31"/>
        <v>378570.724137931</v>
      </c>
      <c r="F305" s="741">
        <f t="shared" si="24"/>
        <v>9590458.34482759</v>
      </c>
      <c r="G305" s="679">
        <f t="shared" si="25"/>
        <v>9779743.706896555</v>
      </c>
      <c r="H305" s="736">
        <f>+J268*G305+E305</f>
        <v>1636331.7941115755</v>
      </c>
      <c r="I305" s="742">
        <f>+J269*G305+E305</f>
        <v>1636331.7941115755</v>
      </c>
      <c r="J305" s="739">
        <f t="shared" si="26"/>
        <v>0</v>
      </c>
      <c r="K305" s="739"/>
      <c r="L305" s="743"/>
      <c r="M305" s="739">
        <f t="shared" si="27"/>
        <v>0</v>
      </c>
      <c r="N305" s="743"/>
      <c r="O305" s="739">
        <f t="shared" si="28"/>
        <v>0</v>
      </c>
      <c r="P305" s="739">
        <f t="shared" si="29"/>
        <v>0</v>
      </c>
      <c r="Q305" s="680"/>
    </row>
    <row r="306" spans="2:17" ht="12.75">
      <c r="B306" s="330"/>
      <c r="C306" s="735">
        <f>IF(D267="","-",+C305+1)</f>
        <v>2046</v>
      </c>
      <c r="D306" s="679">
        <f t="shared" si="30"/>
        <v>9590458.34482759</v>
      </c>
      <c r="E306" s="741">
        <f t="shared" si="31"/>
        <v>378570.724137931</v>
      </c>
      <c r="F306" s="741">
        <f t="shared" si="24"/>
        <v>9211887.62068966</v>
      </c>
      <c r="G306" s="679">
        <f t="shared" si="25"/>
        <v>9401172.982758626</v>
      </c>
      <c r="H306" s="736">
        <f>+J268*G306+E306</f>
        <v>1587644.2688222737</v>
      </c>
      <c r="I306" s="742">
        <f>+J269*G306+E306</f>
        <v>1587644.2688222737</v>
      </c>
      <c r="J306" s="739">
        <f t="shared" si="26"/>
        <v>0</v>
      </c>
      <c r="K306" s="739"/>
      <c r="L306" s="743"/>
      <c r="M306" s="739">
        <f t="shared" si="27"/>
        <v>0</v>
      </c>
      <c r="N306" s="743"/>
      <c r="O306" s="739">
        <f t="shared" si="28"/>
        <v>0</v>
      </c>
      <c r="P306" s="739">
        <f t="shared" si="29"/>
        <v>0</v>
      </c>
      <c r="Q306" s="680"/>
    </row>
    <row r="307" spans="2:17" ht="12.75">
      <c r="B307" s="330"/>
      <c r="C307" s="735">
        <f>IF(D267="","-",+C306+1)</f>
        <v>2047</v>
      </c>
      <c r="D307" s="679">
        <f t="shared" si="30"/>
        <v>9211887.62068966</v>
      </c>
      <c r="E307" s="741">
        <f t="shared" si="31"/>
        <v>378570.724137931</v>
      </c>
      <c r="F307" s="741">
        <f t="shared" si="24"/>
        <v>8833316.89655173</v>
      </c>
      <c r="G307" s="679">
        <f t="shared" si="25"/>
        <v>9022602.258620694</v>
      </c>
      <c r="H307" s="736">
        <f>+J268*G307+E307</f>
        <v>1538956.743532971</v>
      </c>
      <c r="I307" s="742">
        <f>+J269*G307+E307</f>
        <v>1538956.743532971</v>
      </c>
      <c r="J307" s="739">
        <f t="shared" si="26"/>
        <v>0</v>
      </c>
      <c r="K307" s="739"/>
      <c r="L307" s="743"/>
      <c r="M307" s="739">
        <f t="shared" si="27"/>
        <v>0</v>
      </c>
      <c r="N307" s="743"/>
      <c r="O307" s="739">
        <f t="shared" si="28"/>
        <v>0</v>
      </c>
      <c r="P307" s="739">
        <f t="shared" si="29"/>
        <v>0</v>
      </c>
      <c r="Q307" s="680"/>
    </row>
    <row r="308" spans="2:17" ht="12.75">
      <c r="B308" s="330"/>
      <c r="C308" s="735">
        <f>IF(D267="","-",+C307+1)</f>
        <v>2048</v>
      </c>
      <c r="D308" s="679">
        <f t="shared" si="30"/>
        <v>8833316.89655173</v>
      </c>
      <c r="E308" s="741">
        <f t="shared" si="31"/>
        <v>378570.724137931</v>
      </c>
      <c r="F308" s="741">
        <f t="shared" si="24"/>
        <v>8454746.1724138</v>
      </c>
      <c r="G308" s="679">
        <f t="shared" si="25"/>
        <v>8644031.534482766</v>
      </c>
      <c r="H308" s="736">
        <f>+J268*G308+E308</f>
        <v>1490269.2182436688</v>
      </c>
      <c r="I308" s="742">
        <f>+J269*G308+E308</f>
        <v>1490269.2182436688</v>
      </c>
      <c r="J308" s="739">
        <f t="shared" si="26"/>
        <v>0</v>
      </c>
      <c r="K308" s="739"/>
      <c r="L308" s="743"/>
      <c r="M308" s="739">
        <f t="shared" si="27"/>
        <v>0</v>
      </c>
      <c r="N308" s="743"/>
      <c r="O308" s="739">
        <f t="shared" si="28"/>
        <v>0</v>
      </c>
      <c r="P308" s="739">
        <f t="shared" si="29"/>
        <v>0</v>
      </c>
      <c r="Q308" s="680"/>
    </row>
    <row r="309" spans="2:17" ht="12.75">
      <c r="B309" s="330"/>
      <c r="C309" s="735">
        <f>IF(D267="","-",+C308+1)</f>
        <v>2049</v>
      </c>
      <c r="D309" s="679">
        <f t="shared" si="30"/>
        <v>8454746.1724138</v>
      </c>
      <c r="E309" s="741">
        <f t="shared" si="31"/>
        <v>378570.724137931</v>
      </c>
      <c r="F309" s="741">
        <f t="shared" si="24"/>
        <v>8076175.448275869</v>
      </c>
      <c r="G309" s="679">
        <f t="shared" si="25"/>
        <v>8265460.810344834</v>
      </c>
      <c r="H309" s="736">
        <f>+J268*G309+E309</f>
        <v>1441581.6929543666</v>
      </c>
      <c r="I309" s="742">
        <f>+J269*G309+E309</f>
        <v>1441581.6929543666</v>
      </c>
      <c r="J309" s="739">
        <f t="shared" si="26"/>
        <v>0</v>
      </c>
      <c r="K309" s="739"/>
      <c r="L309" s="743"/>
      <c r="M309" s="739">
        <f t="shared" si="27"/>
        <v>0</v>
      </c>
      <c r="N309" s="743"/>
      <c r="O309" s="739">
        <f t="shared" si="28"/>
        <v>0</v>
      </c>
      <c r="P309" s="739">
        <f t="shared" si="29"/>
        <v>0</v>
      </c>
      <c r="Q309" s="680"/>
    </row>
    <row r="310" spans="2:17" ht="12.75">
      <c r="B310" s="330"/>
      <c r="C310" s="735">
        <f>IF(D267="","-",+C309+1)</f>
        <v>2050</v>
      </c>
      <c r="D310" s="679">
        <f t="shared" si="30"/>
        <v>8076175.448275869</v>
      </c>
      <c r="E310" s="741">
        <f t="shared" si="31"/>
        <v>378570.724137931</v>
      </c>
      <c r="F310" s="741">
        <f t="shared" si="24"/>
        <v>7697604.724137938</v>
      </c>
      <c r="G310" s="679">
        <f t="shared" si="25"/>
        <v>7886890.086206904</v>
      </c>
      <c r="H310" s="736">
        <f>+J268*G310+E310</f>
        <v>1392894.1676650643</v>
      </c>
      <c r="I310" s="742">
        <f>+J269*G310+E310</f>
        <v>1392894.1676650643</v>
      </c>
      <c r="J310" s="739">
        <f t="shared" si="26"/>
        <v>0</v>
      </c>
      <c r="K310" s="739"/>
      <c r="L310" s="743"/>
      <c r="M310" s="739">
        <f t="shared" si="27"/>
        <v>0</v>
      </c>
      <c r="N310" s="743"/>
      <c r="O310" s="739">
        <f t="shared" si="28"/>
        <v>0</v>
      </c>
      <c r="P310" s="739">
        <f t="shared" si="29"/>
        <v>0</v>
      </c>
      <c r="Q310" s="680"/>
    </row>
    <row r="311" spans="2:17" ht="12.75">
      <c r="B311" s="330"/>
      <c r="C311" s="735">
        <f>IF(D267="","-",+C310+1)</f>
        <v>2051</v>
      </c>
      <c r="D311" s="679">
        <f t="shared" si="30"/>
        <v>7697604.724137938</v>
      </c>
      <c r="E311" s="741">
        <f t="shared" si="31"/>
        <v>378570.724137931</v>
      </c>
      <c r="F311" s="741">
        <f t="shared" si="24"/>
        <v>7319034.0000000065</v>
      </c>
      <c r="G311" s="679">
        <f t="shared" si="25"/>
        <v>7508319.362068972</v>
      </c>
      <c r="H311" s="736">
        <f>+J268*G311+E311</f>
        <v>1344206.6423757616</v>
      </c>
      <c r="I311" s="742">
        <f>+J269*G311+E311</f>
        <v>1344206.6423757616</v>
      </c>
      <c r="J311" s="739">
        <f t="shared" si="26"/>
        <v>0</v>
      </c>
      <c r="K311" s="739"/>
      <c r="L311" s="743"/>
      <c r="M311" s="739">
        <f t="shared" si="27"/>
        <v>0</v>
      </c>
      <c r="N311" s="743"/>
      <c r="O311" s="739">
        <f t="shared" si="28"/>
        <v>0</v>
      </c>
      <c r="P311" s="739">
        <f t="shared" si="29"/>
        <v>0</v>
      </c>
      <c r="Q311" s="680"/>
    </row>
    <row r="312" spans="2:17" ht="12.75">
      <c r="B312" s="330"/>
      <c r="C312" s="735">
        <f>IF(D267="","-",+C311+1)</f>
        <v>2052</v>
      </c>
      <c r="D312" s="679">
        <f t="shared" si="30"/>
        <v>7319034.0000000065</v>
      </c>
      <c r="E312" s="741">
        <f t="shared" si="31"/>
        <v>378570.724137931</v>
      </c>
      <c r="F312" s="741">
        <f t="shared" si="24"/>
        <v>6940463.275862075</v>
      </c>
      <c r="G312" s="679">
        <f t="shared" si="25"/>
        <v>7129748.637931041</v>
      </c>
      <c r="H312" s="736">
        <f>+J268*G312+E312</f>
        <v>1295519.1170864594</v>
      </c>
      <c r="I312" s="742">
        <f>+J269*G312+E312</f>
        <v>1295519.1170864594</v>
      </c>
      <c r="J312" s="739">
        <f t="shared" si="26"/>
        <v>0</v>
      </c>
      <c r="K312" s="739"/>
      <c r="L312" s="743"/>
      <c r="M312" s="739">
        <f t="shared" si="27"/>
        <v>0</v>
      </c>
      <c r="N312" s="743"/>
      <c r="O312" s="739">
        <f t="shared" si="28"/>
        <v>0</v>
      </c>
      <c r="P312" s="739">
        <f t="shared" si="29"/>
        <v>0</v>
      </c>
      <c r="Q312" s="680"/>
    </row>
    <row r="313" spans="2:17" ht="12.75">
      <c r="B313" s="330"/>
      <c r="C313" s="735">
        <f>IF(D267="","-",+C312+1)</f>
        <v>2053</v>
      </c>
      <c r="D313" s="679">
        <f t="shared" si="30"/>
        <v>6940463.275862075</v>
      </c>
      <c r="E313" s="741">
        <f t="shared" si="31"/>
        <v>378570.724137931</v>
      </c>
      <c r="F313" s="741">
        <f t="shared" si="24"/>
        <v>6561892.551724144</v>
      </c>
      <c r="G313" s="679">
        <f t="shared" si="25"/>
        <v>6751177.913793109</v>
      </c>
      <c r="H313" s="736">
        <f>+J268*G313+E313</f>
        <v>1246831.5917971572</v>
      </c>
      <c r="I313" s="742">
        <f>+J269*G313+E313</f>
        <v>1246831.5917971572</v>
      </c>
      <c r="J313" s="739">
        <f t="shared" si="26"/>
        <v>0</v>
      </c>
      <c r="K313" s="739"/>
      <c r="L313" s="743"/>
      <c r="M313" s="739">
        <f t="shared" si="27"/>
        <v>0</v>
      </c>
      <c r="N313" s="743"/>
      <c r="O313" s="739">
        <f t="shared" si="28"/>
        <v>0</v>
      </c>
      <c r="P313" s="739">
        <f t="shared" si="29"/>
        <v>0</v>
      </c>
      <c r="Q313" s="680"/>
    </row>
    <row r="314" spans="2:17" ht="12.75">
      <c r="B314" s="330"/>
      <c r="C314" s="735">
        <f>IF(D267="","-",+C313+1)</f>
        <v>2054</v>
      </c>
      <c r="D314" s="679">
        <f t="shared" si="30"/>
        <v>6561892.551724144</v>
      </c>
      <c r="E314" s="741">
        <f t="shared" si="31"/>
        <v>378570.724137931</v>
      </c>
      <c r="F314" s="741">
        <f t="shared" si="24"/>
        <v>6183321.827586213</v>
      </c>
      <c r="G314" s="679">
        <f t="shared" si="25"/>
        <v>6372607.189655179</v>
      </c>
      <c r="H314" s="736">
        <f>+J268*G314+E314</f>
        <v>1198144.066507855</v>
      </c>
      <c r="I314" s="742">
        <f>+J269*G314+E314</f>
        <v>1198144.066507855</v>
      </c>
      <c r="J314" s="739">
        <f t="shared" si="26"/>
        <v>0</v>
      </c>
      <c r="K314" s="739"/>
      <c r="L314" s="743"/>
      <c r="M314" s="739">
        <f t="shared" si="27"/>
        <v>0</v>
      </c>
      <c r="N314" s="743"/>
      <c r="O314" s="739">
        <f t="shared" si="28"/>
        <v>0</v>
      </c>
      <c r="P314" s="739">
        <f t="shared" si="29"/>
        <v>0</v>
      </c>
      <c r="Q314" s="680"/>
    </row>
    <row r="315" spans="2:17" ht="12.75">
      <c r="B315" s="330"/>
      <c r="C315" s="735">
        <f>IF(D267="","-",+C314+1)</f>
        <v>2055</v>
      </c>
      <c r="D315" s="679">
        <f t="shared" si="30"/>
        <v>6183321.827586213</v>
      </c>
      <c r="E315" s="741">
        <f t="shared" si="31"/>
        <v>378570.724137931</v>
      </c>
      <c r="F315" s="741">
        <f t="shared" si="24"/>
        <v>5804751.103448282</v>
      </c>
      <c r="G315" s="679">
        <f t="shared" si="25"/>
        <v>5994036.465517247</v>
      </c>
      <c r="H315" s="736">
        <f>+J268*G315+E315</f>
        <v>1149456.5412185523</v>
      </c>
      <c r="I315" s="742">
        <f>+J269*G315+E315</f>
        <v>1149456.5412185523</v>
      </c>
      <c r="J315" s="739">
        <f t="shared" si="26"/>
        <v>0</v>
      </c>
      <c r="K315" s="739"/>
      <c r="L315" s="743"/>
      <c r="M315" s="739">
        <f t="shared" si="27"/>
        <v>0</v>
      </c>
      <c r="N315" s="743"/>
      <c r="O315" s="739">
        <f t="shared" si="28"/>
        <v>0</v>
      </c>
      <c r="P315" s="739">
        <f t="shared" si="29"/>
        <v>0</v>
      </c>
      <c r="Q315" s="680"/>
    </row>
    <row r="316" spans="2:17" ht="12.75">
      <c r="B316" s="330"/>
      <c r="C316" s="735">
        <f>IF(D267="","-",+C315+1)</f>
        <v>2056</v>
      </c>
      <c r="D316" s="679">
        <f t="shared" si="30"/>
        <v>5804751.103448282</v>
      </c>
      <c r="E316" s="741">
        <f t="shared" si="31"/>
        <v>378570.724137931</v>
      </c>
      <c r="F316" s="741">
        <f t="shared" si="24"/>
        <v>5426180.379310351</v>
      </c>
      <c r="G316" s="679">
        <f t="shared" si="25"/>
        <v>5615465.741379317</v>
      </c>
      <c r="H316" s="736">
        <f>+J268*G316+E316</f>
        <v>1100769.01592925</v>
      </c>
      <c r="I316" s="742">
        <f>+J269*G316+E316</f>
        <v>1100769.01592925</v>
      </c>
      <c r="J316" s="739">
        <f t="shared" si="26"/>
        <v>0</v>
      </c>
      <c r="K316" s="739"/>
      <c r="L316" s="743"/>
      <c r="M316" s="739">
        <f t="shared" si="27"/>
        <v>0</v>
      </c>
      <c r="N316" s="743"/>
      <c r="O316" s="739">
        <f t="shared" si="28"/>
        <v>0</v>
      </c>
      <c r="P316" s="739">
        <f t="shared" si="29"/>
        <v>0</v>
      </c>
      <c r="Q316" s="680"/>
    </row>
    <row r="317" spans="2:17" ht="12.75">
      <c r="B317" s="330"/>
      <c r="C317" s="735">
        <f>IF(D267="","-",+C316+1)</f>
        <v>2057</v>
      </c>
      <c r="D317" s="679">
        <f t="shared" si="30"/>
        <v>5426180.379310351</v>
      </c>
      <c r="E317" s="741">
        <f t="shared" si="31"/>
        <v>378570.724137931</v>
      </c>
      <c r="F317" s="741">
        <f t="shared" si="24"/>
        <v>5047609.65517242</v>
      </c>
      <c r="G317" s="679">
        <f t="shared" si="25"/>
        <v>5236895.017241385</v>
      </c>
      <c r="H317" s="736">
        <f>+J268*G317+E317</f>
        <v>1052081.4906399476</v>
      </c>
      <c r="I317" s="742">
        <f>+J269*G317+E317</f>
        <v>1052081.4906399476</v>
      </c>
      <c r="J317" s="739">
        <f t="shared" si="26"/>
        <v>0</v>
      </c>
      <c r="K317" s="739"/>
      <c r="L317" s="743"/>
      <c r="M317" s="739">
        <f t="shared" si="27"/>
        <v>0</v>
      </c>
      <c r="N317" s="743"/>
      <c r="O317" s="739">
        <f t="shared" si="28"/>
        <v>0</v>
      </c>
      <c r="P317" s="739">
        <f t="shared" si="29"/>
        <v>0</v>
      </c>
      <c r="Q317" s="680"/>
    </row>
    <row r="318" spans="2:17" ht="12.75">
      <c r="B318" s="330"/>
      <c r="C318" s="735">
        <f>IF(D267="","-",+C317+1)</f>
        <v>2058</v>
      </c>
      <c r="D318" s="679">
        <f t="shared" si="30"/>
        <v>5047609.65517242</v>
      </c>
      <c r="E318" s="741">
        <f t="shared" si="31"/>
        <v>378570.724137931</v>
      </c>
      <c r="F318" s="741">
        <f t="shared" si="24"/>
        <v>4669038.931034489</v>
      </c>
      <c r="G318" s="679">
        <f t="shared" si="25"/>
        <v>4858324.293103455</v>
      </c>
      <c r="H318" s="736">
        <f>+J268*G318+E318</f>
        <v>1003393.9653506454</v>
      </c>
      <c r="I318" s="742">
        <f>+J269*G318+E318</f>
        <v>1003393.9653506454</v>
      </c>
      <c r="J318" s="739">
        <f t="shared" si="26"/>
        <v>0</v>
      </c>
      <c r="K318" s="739"/>
      <c r="L318" s="743"/>
      <c r="M318" s="739">
        <f t="shared" si="27"/>
        <v>0</v>
      </c>
      <c r="N318" s="743"/>
      <c r="O318" s="739">
        <f t="shared" si="28"/>
        <v>0</v>
      </c>
      <c r="P318" s="739">
        <f t="shared" si="29"/>
        <v>0</v>
      </c>
      <c r="Q318" s="680"/>
    </row>
    <row r="319" spans="2:17" ht="12.75">
      <c r="B319" s="330"/>
      <c r="C319" s="735">
        <f>IF(D267="","-",+C318+1)</f>
        <v>2059</v>
      </c>
      <c r="D319" s="679">
        <f t="shared" si="30"/>
        <v>4669038.931034489</v>
      </c>
      <c r="E319" s="741">
        <f t="shared" si="31"/>
        <v>378570.724137931</v>
      </c>
      <c r="F319" s="741">
        <f t="shared" si="24"/>
        <v>4290468.2068965575</v>
      </c>
      <c r="G319" s="679">
        <f t="shared" si="25"/>
        <v>4479753.568965523</v>
      </c>
      <c r="H319" s="736">
        <f>+J268*G319+E319</f>
        <v>954706.4400613429</v>
      </c>
      <c r="I319" s="742">
        <f>+J269*G319+E319</f>
        <v>954706.4400613429</v>
      </c>
      <c r="J319" s="739">
        <f t="shared" si="26"/>
        <v>0</v>
      </c>
      <c r="K319" s="739"/>
      <c r="L319" s="743"/>
      <c r="M319" s="739">
        <f t="shared" si="27"/>
        <v>0</v>
      </c>
      <c r="N319" s="743"/>
      <c r="O319" s="739">
        <f t="shared" si="28"/>
        <v>0</v>
      </c>
      <c r="P319" s="739">
        <f t="shared" si="29"/>
        <v>0</v>
      </c>
      <c r="Q319" s="680"/>
    </row>
    <row r="320" spans="2:17" ht="12.75">
      <c r="B320" s="330"/>
      <c r="C320" s="735">
        <f>IF(D267="","-",+C319+1)</f>
        <v>2060</v>
      </c>
      <c r="D320" s="679">
        <f t="shared" si="30"/>
        <v>4290468.2068965575</v>
      </c>
      <c r="E320" s="741">
        <f t="shared" si="31"/>
        <v>378570.724137931</v>
      </c>
      <c r="F320" s="741">
        <f t="shared" si="24"/>
        <v>3911897.4827586263</v>
      </c>
      <c r="G320" s="679">
        <f t="shared" si="25"/>
        <v>4101182.844827592</v>
      </c>
      <c r="H320" s="736">
        <f>+J268*G320+E320</f>
        <v>906018.9147720406</v>
      </c>
      <c r="I320" s="742">
        <f>+J269*G320+E320</f>
        <v>906018.9147720406</v>
      </c>
      <c r="J320" s="739">
        <f t="shared" si="26"/>
        <v>0</v>
      </c>
      <c r="K320" s="739"/>
      <c r="L320" s="743"/>
      <c r="M320" s="739">
        <f t="shared" si="27"/>
        <v>0</v>
      </c>
      <c r="N320" s="743"/>
      <c r="O320" s="739">
        <f t="shared" si="28"/>
        <v>0</v>
      </c>
      <c r="P320" s="739">
        <f t="shared" si="29"/>
        <v>0</v>
      </c>
      <c r="Q320" s="680"/>
    </row>
    <row r="321" spans="2:17" ht="12.75">
      <c r="B321" s="330"/>
      <c r="C321" s="735">
        <f>IF(D267="","-",+C320+1)</f>
        <v>2061</v>
      </c>
      <c r="D321" s="679">
        <f t="shared" si="30"/>
        <v>3911897.4827586263</v>
      </c>
      <c r="E321" s="741">
        <f t="shared" si="31"/>
        <v>378570.724137931</v>
      </c>
      <c r="F321" s="741">
        <f t="shared" si="24"/>
        <v>3533326.758620695</v>
      </c>
      <c r="G321" s="679">
        <f t="shared" si="25"/>
        <v>3722612.120689661</v>
      </c>
      <c r="H321" s="736">
        <f>+J268*G321+E321</f>
        <v>857331.3894827382</v>
      </c>
      <c r="I321" s="742">
        <f>+J269*G321+E321</f>
        <v>857331.3894827382</v>
      </c>
      <c r="J321" s="739">
        <f t="shared" si="26"/>
        <v>0</v>
      </c>
      <c r="K321" s="739"/>
      <c r="L321" s="743"/>
      <c r="M321" s="739">
        <f t="shared" si="27"/>
        <v>0</v>
      </c>
      <c r="N321" s="743"/>
      <c r="O321" s="739">
        <f t="shared" si="28"/>
        <v>0</v>
      </c>
      <c r="P321" s="739">
        <f t="shared" si="29"/>
        <v>0</v>
      </c>
      <c r="Q321" s="680"/>
    </row>
    <row r="322" spans="2:17" ht="12.75">
      <c r="B322" s="330"/>
      <c r="C322" s="735">
        <f>IF(D267="","-",+C321+1)</f>
        <v>2062</v>
      </c>
      <c r="D322" s="679">
        <f t="shared" si="30"/>
        <v>3533326.758620695</v>
      </c>
      <c r="E322" s="741">
        <f t="shared" si="31"/>
        <v>378570.724137931</v>
      </c>
      <c r="F322" s="741">
        <f t="shared" si="24"/>
        <v>3154756.034482764</v>
      </c>
      <c r="G322" s="679">
        <f t="shared" si="25"/>
        <v>3344041.3965517296</v>
      </c>
      <c r="H322" s="736">
        <f>+J268*G322+E322</f>
        <v>808643.8641934358</v>
      </c>
      <c r="I322" s="742">
        <f>+J269*G322+E322</f>
        <v>808643.8641934358</v>
      </c>
      <c r="J322" s="739">
        <f t="shared" si="26"/>
        <v>0</v>
      </c>
      <c r="K322" s="739"/>
      <c r="L322" s="743"/>
      <c r="M322" s="739">
        <f t="shared" si="27"/>
        <v>0</v>
      </c>
      <c r="N322" s="743"/>
      <c r="O322" s="739">
        <f t="shared" si="28"/>
        <v>0</v>
      </c>
      <c r="P322" s="739">
        <f t="shared" si="29"/>
        <v>0</v>
      </c>
      <c r="Q322" s="680"/>
    </row>
    <row r="323" spans="2:17" ht="12.75">
      <c r="B323" s="330"/>
      <c r="C323" s="735">
        <f>IF(D267="","-",+C322+1)</f>
        <v>2063</v>
      </c>
      <c r="D323" s="679">
        <f t="shared" si="30"/>
        <v>3154756.034482764</v>
      </c>
      <c r="E323" s="741">
        <f t="shared" si="31"/>
        <v>378570.724137931</v>
      </c>
      <c r="F323" s="741">
        <f t="shared" si="24"/>
        <v>2776185.310344833</v>
      </c>
      <c r="G323" s="679">
        <f t="shared" si="25"/>
        <v>2965470.6724137985</v>
      </c>
      <c r="H323" s="736">
        <f>+J268*G323+E323</f>
        <v>759956.3389041335</v>
      </c>
      <c r="I323" s="742">
        <f>+J269*G323+E323</f>
        <v>759956.3389041335</v>
      </c>
      <c r="J323" s="739">
        <f t="shared" si="26"/>
        <v>0</v>
      </c>
      <c r="K323" s="739"/>
      <c r="L323" s="743"/>
      <c r="M323" s="739">
        <f t="shared" si="27"/>
        <v>0</v>
      </c>
      <c r="N323" s="743"/>
      <c r="O323" s="739">
        <f t="shared" si="28"/>
        <v>0</v>
      </c>
      <c r="P323" s="739">
        <f t="shared" si="29"/>
        <v>0</v>
      </c>
      <c r="Q323" s="680"/>
    </row>
    <row r="324" spans="2:17" ht="12.75">
      <c r="B324" s="330"/>
      <c r="C324" s="735">
        <f>IF(D267="","-",+C323+1)</f>
        <v>2064</v>
      </c>
      <c r="D324" s="679">
        <f t="shared" si="30"/>
        <v>2776185.310344833</v>
      </c>
      <c r="E324" s="741">
        <f t="shared" si="31"/>
        <v>378570.724137931</v>
      </c>
      <c r="F324" s="741">
        <f t="shared" si="24"/>
        <v>2397614.586206902</v>
      </c>
      <c r="G324" s="679">
        <f t="shared" si="25"/>
        <v>2586899.9482758674</v>
      </c>
      <c r="H324" s="736">
        <f>+J268*G324+E324</f>
        <v>711268.8136148311</v>
      </c>
      <c r="I324" s="742">
        <f>+J269*G324+E324</f>
        <v>711268.8136148311</v>
      </c>
      <c r="J324" s="739">
        <f t="shared" si="26"/>
        <v>0</v>
      </c>
      <c r="K324" s="739"/>
      <c r="L324" s="743"/>
      <c r="M324" s="739">
        <f t="shared" si="27"/>
        <v>0</v>
      </c>
      <c r="N324" s="743"/>
      <c r="O324" s="739">
        <f t="shared" si="28"/>
        <v>0</v>
      </c>
      <c r="P324" s="739">
        <f t="shared" si="29"/>
        <v>0</v>
      </c>
      <c r="Q324" s="680"/>
    </row>
    <row r="325" spans="2:17" ht="12.75">
      <c r="B325" s="330"/>
      <c r="C325" s="735">
        <f>IF(D267="","-",+C324+1)</f>
        <v>2065</v>
      </c>
      <c r="D325" s="679">
        <f t="shared" si="30"/>
        <v>2397614.586206902</v>
      </c>
      <c r="E325" s="741">
        <f t="shared" si="31"/>
        <v>378570.724137931</v>
      </c>
      <c r="F325" s="741">
        <f t="shared" si="24"/>
        <v>2019043.8620689707</v>
      </c>
      <c r="G325" s="679">
        <f t="shared" si="25"/>
        <v>2208329.2241379363</v>
      </c>
      <c r="H325" s="736">
        <f>+J268*G325+E325</f>
        <v>662581.2883255287</v>
      </c>
      <c r="I325" s="742">
        <f>+J269*G325+E325</f>
        <v>662581.2883255287</v>
      </c>
      <c r="J325" s="739">
        <f t="shared" si="26"/>
        <v>0</v>
      </c>
      <c r="K325" s="739"/>
      <c r="L325" s="743"/>
      <c r="M325" s="739">
        <f t="shared" si="27"/>
        <v>0</v>
      </c>
      <c r="N325" s="743"/>
      <c r="O325" s="739">
        <f t="shared" si="28"/>
        <v>0</v>
      </c>
      <c r="P325" s="739">
        <f t="shared" si="29"/>
        <v>0</v>
      </c>
      <c r="Q325" s="680"/>
    </row>
    <row r="326" spans="2:17" ht="12.75">
      <c r="B326" s="330"/>
      <c r="C326" s="735">
        <f>IF(D267="","-",+C325+1)</f>
        <v>2066</v>
      </c>
      <c r="D326" s="679">
        <f t="shared" si="30"/>
        <v>2019043.8620689707</v>
      </c>
      <c r="E326" s="741">
        <f t="shared" si="31"/>
        <v>378570.724137931</v>
      </c>
      <c r="F326" s="741">
        <f t="shared" si="24"/>
        <v>1640473.1379310396</v>
      </c>
      <c r="G326" s="679">
        <f t="shared" si="25"/>
        <v>1829758.5000000051</v>
      </c>
      <c r="H326" s="736">
        <f>+J268*G326+E326</f>
        <v>613893.7630362264</v>
      </c>
      <c r="I326" s="742">
        <f>+J269*G326+E326</f>
        <v>613893.7630362264</v>
      </c>
      <c r="J326" s="739">
        <f t="shared" si="26"/>
        <v>0</v>
      </c>
      <c r="K326" s="739"/>
      <c r="L326" s="743"/>
      <c r="M326" s="739">
        <f t="shared" si="27"/>
        <v>0</v>
      </c>
      <c r="N326" s="743"/>
      <c r="O326" s="739">
        <f t="shared" si="28"/>
        <v>0</v>
      </c>
      <c r="P326" s="739">
        <f t="shared" si="29"/>
        <v>0</v>
      </c>
      <c r="Q326" s="680"/>
    </row>
    <row r="327" spans="2:17" ht="12.75">
      <c r="B327" s="330"/>
      <c r="C327" s="735">
        <f>IF(D267="","-",+C326+1)</f>
        <v>2067</v>
      </c>
      <c r="D327" s="679">
        <f t="shared" si="30"/>
        <v>1640473.1379310396</v>
      </c>
      <c r="E327" s="741">
        <f t="shared" si="31"/>
        <v>378570.724137931</v>
      </c>
      <c r="F327" s="741">
        <f t="shared" si="24"/>
        <v>1261902.4137931084</v>
      </c>
      <c r="G327" s="679">
        <f t="shared" si="25"/>
        <v>1451187.775862074</v>
      </c>
      <c r="H327" s="736">
        <f>+J268*G327+E327</f>
        <v>565206.237746924</v>
      </c>
      <c r="I327" s="742">
        <f>+J269*G327+E327</f>
        <v>565206.237746924</v>
      </c>
      <c r="J327" s="739">
        <f t="shared" si="26"/>
        <v>0</v>
      </c>
      <c r="K327" s="739"/>
      <c r="L327" s="743"/>
      <c r="M327" s="739">
        <f t="shared" si="27"/>
        <v>0</v>
      </c>
      <c r="N327" s="743"/>
      <c r="O327" s="739">
        <f t="shared" si="28"/>
        <v>0</v>
      </c>
      <c r="P327" s="739">
        <f t="shared" si="29"/>
        <v>0</v>
      </c>
      <c r="Q327" s="680"/>
    </row>
    <row r="328" spans="2:17" ht="12.75">
      <c r="B328" s="330"/>
      <c r="C328" s="735">
        <f>IF(D267="","-",+C327+1)</f>
        <v>2068</v>
      </c>
      <c r="D328" s="679">
        <f t="shared" si="30"/>
        <v>1261902.4137931084</v>
      </c>
      <c r="E328" s="741">
        <f t="shared" si="31"/>
        <v>378570.724137931</v>
      </c>
      <c r="F328" s="741">
        <f t="shared" si="24"/>
        <v>883331.6896551774</v>
      </c>
      <c r="G328" s="679">
        <f t="shared" si="25"/>
        <v>1072617.0517241429</v>
      </c>
      <c r="H328" s="736">
        <f>+J268*G328+E328</f>
        <v>516518.71245762164</v>
      </c>
      <c r="I328" s="742">
        <f>+J269*G328+E328</f>
        <v>516518.71245762164</v>
      </c>
      <c r="J328" s="739">
        <f t="shared" si="26"/>
        <v>0</v>
      </c>
      <c r="K328" s="739"/>
      <c r="L328" s="743"/>
      <c r="M328" s="739">
        <f t="shared" si="27"/>
        <v>0</v>
      </c>
      <c r="N328" s="743"/>
      <c r="O328" s="739">
        <f t="shared" si="28"/>
        <v>0</v>
      </c>
      <c r="P328" s="739">
        <f t="shared" si="29"/>
        <v>0</v>
      </c>
      <c r="Q328" s="680"/>
    </row>
    <row r="329" spans="2:17" ht="12.75">
      <c r="B329" s="330"/>
      <c r="C329" s="735">
        <f>IF(D267="","-",+C328+1)</f>
        <v>2069</v>
      </c>
      <c r="D329" s="679">
        <f t="shared" si="30"/>
        <v>883331.6896551774</v>
      </c>
      <c r="E329" s="741">
        <f t="shared" si="31"/>
        <v>378570.724137931</v>
      </c>
      <c r="F329" s="741">
        <f t="shared" si="24"/>
        <v>504760.9655172464</v>
      </c>
      <c r="G329" s="679">
        <f t="shared" si="25"/>
        <v>694046.327586212</v>
      </c>
      <c r="H329" s="736">
        <f>+J268*G329+E329</f>
        <v>467831.1871683193</v>
      </c>
      <c r="I329" s="742">
        <f>+J269*G329+E329</f>
        <v>467831.1871683193</v>
      </c>
      <c r="J329" s="739">
        <f t="shared" si="26"/>
        <v>0</v>
      </c>
      <c r="K329" s="739"/>
      <c r="L329" s="743"/>
      <c r="M329" s="739">
        <f t="shared" si="27"/>
        <v>0</v>
      </c>
      <c r="N329" s="743"/>
      <c r="O329" s="739">
        <f t="shared" si="28"/>
        <v>0</v>
      </c>
      <c r="P329" s="739">
        <f t="shared" si="29"/>
        <v>0</v>
      </c>
      <c r="Q329" s="680"/>
    </row>
    <row r="330" spans="2:17" ht="12.75">
      <c r="B330" s="330"/>
      <c r="C330" s="735">
        <f>IF(D267="","-",+C329+1)</f>
        <v>2070</v>
      </c>
      <c r="D330" s="679">
        <f t="shared" si="30"/>
        <v>504760.9655172464</v>
      </c>
      <c r="E330" s="741">
        <f t="shared" si="31"/>
        <v>378570.724137931</v>
      </c>
      <c r="F330" s="741">
        <f t="shared" si="24"/>
        <v>126190.24137931538</v>
      </c>
      <c r="G330" s="679">
        <f t="shared" si="25"/>
        <v>315475.6034482809</v>
      </c>
      <c r="H330" s="736">
        <f>+J268*G330+E330</f>
        <v>419143.66187901696</v>
      </c>
      <c r="I330" s="742">
        <f>+J269*G330+E330</f>
        <v>419143.66187901696</v>
      </c>
      <c r="J330" s="739">
        <f t="shared" si="26"/>
        <v>0</v>
      </c>
      <c r="K330" s="739"/>
      <c r="L330" s="743"/>
      <c r="M330" s="739">
        <f t="shared" si="27"/>
        <v>0</v>
      </c>
      <c r="N330" s="743"/>
      <c r="O330" s="739">
        <f t="shared" si="28"/>
        <v>0</v>
      </c>
      <c r="P330" s="739">
        <f t="shared" si="29"/>
        <v>0</v>
      </c>
      <c r="Q330" s="680"/>
    </row>
    <row r="331" spans="2:17" ht="12.75">
      <c r="B331" s="330"/>
      <c r="C331" s="735">
        <f>IF(D267="","-",+C330+1)</f>
        <v>2071</v>
      </c>
      <c r="D331" s="679">
        <f t="shared" si="30"/>
        <v>126190.24137931538</v>
      </c>
      <c r="E331" s="741">
        <f t="shared" si="31"/>
        <v>126190.24137931538</v>
      </c>
      <c r="F331" s="741">
        <f t="shared" si="24"/>
        <v>0</v>
      </c>
      <c r="G331" s="679">
        <f t="shared" si="25"/>
        <v>63095.12068965769</v>
      </c>
      <c r="H331" s="736">
        <f>+J268*G331+E331</f>
        <v>134304.82892753277</v>
      </c>
      <c r="I331" s="742">
        <f>+J269*G331+E331</f>
        <v>134304.82892753277</v>
      </c>
      <c r="J331" s="739">
        <f t="shared" si="26"/>
        <v>0</v>
      </c>
      <c r="K331" s="739"/>
      <c r="L331" s="743"/>
      <c r="M331" s="739">
        <f t="shared" si="27"/>
        <v>0</v>
      </c>
      <c r="N331" s="743"/>
      <c r="O331" s="739">
        <f t="shared" si="28"/>
        <v>0</v>
      </c>
      <c r="P331" s="739">
        <f t="shared" si="29"/>
        <v>0</v>
      </c>
      <c r="Q331" s="680"/>
    </row>
    <row r="332" spans="2:17" ht="13.5" thickBot="1">
      <c r="B332" s="330"/>
      <c r="C332" s="746">
        <f>IF(D267="","-",+C331+1)</f>
        <v>2072</v>
      </c>
      <c r="D332" s="747">
        <f t="shared" si="30"/>
        <v>0</v>
      </c>
      <c r="E332" s="741">
        <f t="shared" si="31"/>
        <v>0</v>
      </c>
      <c r="F332" s="748">
        <f t="shared" si="24"/>
        <v>0</v>
      </c>
      <c r="G332" s="747">
        <f t="shared" si="25"/>
        <v>0</v>
      </c>
      <c r="H332" s="749">
        <f>+J268*G332+E332</f>
        <v>0</v>
      </c>
      <c r="I332" s="749">
        <f>+J269*G332+E332</f>
        <v>0</v>
      </c>
      <c r="J332" s="750">
        <f t="shared" si="26"/>
        <v>0</v>
      </c>
      <c r="K332" s="739"/>
      <c r="L332" s="751"/>
      <c r="M332" s="750">
        <f t="shared" si="27"/>
        <v>0</v>
      </c>
      <c r="N332" s="751"/>
      <c r="O332" s="750">
        <f t="shared" si="28"/>
        <v>0</v>
      </c>
      <c r="P332" s="750">
        <f t="shared" si="29"/>
        <v>0</v>
      </c>
      <c r="Q332" s="680"/>
    </row>
    <row r="333" spans="2:17" ht="12.75">
      <c r="B333" s="330"/>
      <c r="C333" s="679" t="s">
        <v>290</v>
      </c>
      <c r="D333" s="675"/>
      <c r="E333" s="675">
        <f>SUM(E273:E332)</f>
        <v>21957102.000000004</v>
      </c>
      <c r="F333" s="675"/>
      <c r="G333" s="675"/>
      <c r="H333" s="675">
        <f>SUM(H273:H332)</f>
        <v>104790811.69219972</v>
      </c>
      <c r="I333" s="675">
        <f>SUM(I273:I332)</f>
        <v>104790811.69219972</v>
      </c>
      <c r="J333" s="675">
        <f>SUM(J273:J332)</f>
        <v>0</v>
      </c>
      <c r="K333" s="675"/>
      <c r="L333" s="675"/>
      <c r="M333" s="675"/>
      <c r="N333" s="675"/>
      <c r="O333" s="675"/>
      <c r="Q333" s="675"/>
    </row>
    <row r="334" spans="2:17" ht="12.75">
      <c r="B334" s="330"/>
      <c r="D334" s="569"/>
      <c r="E334" s="546"/>
      <c r="F334" s="546"/>
      <c r="G334" s="546"/>
      <c r="H334" s="546"/>
      <c r="I334" s="652"/>
      <c r="J334" s="652"/>
      <c r="K334" s="675"/>
      <c r="L334" s="652"/>
      <c r="M334" s="652"/>
      <c r="N334" s="652"/>
      <c r="O334" s="652"/>
      <c r="Q334" s="675"/>
    </row>
    <row r="335" spans="2:17" ht="12.75">
      <c r="B335" s="330"/>
      <c r="C335" s="546" t="s">
        <v>605</v>
      </c>
      <c r="D335" s="569"/>
      <c r="E335" s="546"/>
      <c r="F335" s="546"/>
      <c r="G335" s="546"/>
      <c r="H335" s="546"/>
      <c r="I335" s="652"/>
      <c r="J335" s="652"/>
      <c r="K335" s="675"/>
      <c r="L335" s="652"/>
      <c r="M335" s="652"/>
      <c r="N335" s="652"/>
      <c r="O335" s="652"/>
      <c r="Q335" s="675"/>
    </row>
    <row r="336" spans="2:17" ht="12.75">
      <c r="B336" s="330"/>
      <c r="D336" s="569"/>
      <c r="E336" s="546"/>
      <c r="F336" s="546"/>
      <c r="G336" s="546"/>
      <c r="H336" s="546"/>
      <c r="I336" s="652"/>
      <c r="J336" s="652"/>
      <c r="K336" s="675"/>
      <c r="L336" s="652"/>
      <c r="M336" s="652"/>
      <c r="N336" s="652"/>
      <c r="O336" s="652"/>
      <c r="Q336" s="675"/>
    </row>
    <row r="337" spans="2:17" ht="12.75">
      <c r="B337" s="330"/>
      <c r="C337" s="582" t="s">
        <v>606</v>
      </c>
      <c r="D337" s="679"/>
      <c r="E337" s="679"/>
      <c r="F337" s="679"/>
      <c r="G337" s="679"/>
      <c r="H337" s="675"/>
      <c r="I337" s="675"/>
      <c r="J337" s="680"/>
      <c r="K337" s="680"/>
      <c r="L337" s="680"/>
      <c r="M337" s="680"/>
      <c r="N337" s="680"/>
      <c r="O337" s="680"/>
      <c r="Q337" s="680"/>
    </row>
    <row r="338" spans="2:17" ht="12.75">
      <c r="B338" s="330"/>
      <c r="C338" s="582" t="s">
        <v>478</v>
      </c>
      <c r="D338" s="679"/>
      <c r="E338" s="679"/>
      <c r="F338" s="679"/>
      <c r="G338" s="679"/>
      <c r="H338" s="675"/>
      <c r="I338" s="675"/>
      <c r="J338" s="680"/>
      <c r="K338" s="680"/>
      <c r="L338" s="680"/>
      <c r="M338" s="680"/>
      <c r="N338" s="680"/>
      <c r="O338" s="680"/>
      <c r="Q338" s="680"/>
    </row>
    <row r="339" spans="2:17" ht="12.75">
      <c r="B339" s="330"/>
      <c r="C339" s="582" t="s">
        <v>291</v>
      </c>
      <c r="D339" s="679"/>
      <c r="E339" s="679"/>
      <c r="F339" s="679"/>
      <c r="G339" s="679"/>
      <c r="H339" s="675"/>
      <c r="I339" s="675"/>
      <c r="J339" s="680"/>
      <c r="K339" s="680"/>
      <c r="L339" s="680"/>
      <c r="M339" s="680"/>
      <c r="N339" s="680"/>
      <c r="O339" s="680"/>
      <c r="Q339" s="680"/>
    </row>
    <row r="340" spans="1:17" ht="20.25">
      <c r="A340" s="681" t="s">
        <v>762</v>
      </c>
      <c r="B340" s="546"/>
      <c r="C340" s="661"/>
      <c r="D340" s="569"/>
      <c r="E340" s="546"/>
      <c r="F340" s="651"/>
      <c r="G340" s="651"/>
      <c r="H340" s="546"/>
      <c r="I340" s="652"/>
      <c r="L340" s="682"/>
      <c r="M340" s="682"/>
      <c r="N340" s="682"/>
      <c r="O340" s="597" t="str">
        <f>"Page "&amp;SUM(Q$1:Q340)&amp;" of "</f>
        <v>Page 5 of </v>
      </c>
      <c r="P340" s="598">
        <f>COUNT(Q$6:Q$57776)</f>
        <v>10</v>
      </c>
      <c r="Q340" s="772">
        <v>1</v>
      </c>
    </row>
    <row r="341" spans="2:17" ht="12.75">
      <c r="B341" s="546"/>
      <c r="C341" s="546"/>
      <c r="D341" s="569"/>
      <c r="E341" s="546"/>
      <c r="F341" s="546"/>
      <c r="G341" s="546"/>
      <c r="H341" s="546"/>
      <c r="I341" s="652"/>
      <c r="J341" s="546"/>
      <c r="K341" s="594"/>
      <c r="Q341" s="594"/>
    </row>
    <row r="342" spans="2:17" ht="18">
      <c r="B342" s="601" t="s">
        <v>176</v>
      </c>
      <c r="C342" s="683" t="s">
        <v>292</v>
      </c>
      <c r="D342" s="569"/>
      <c r="E342" s="546"/>
      <c r="F342" s="546"/>
      <c r="G342" s="546"/>
      <c r="H342" s="546"/>
      <c r="I342" s="652"/>
      <c r="J342" s="652"/>
      <c r="K342" s="675"/>
      <c r="L342" s="652"/>
      <c r="M342" s="652"/>
      <c r="N342" s="652"/>
      <c r="O342" s="652"/>
      <c r="Q342" s="675"/>
    </row>
    <row r="343" spans="2:17" ht="18.75">
      <c r="B343" s="601"/>
      <c r="C343" s="600"/>
      <c r="D343" s="569"/>
      <c r="E343" s="546"/>
      <c r="F343" s="546"/>
      <c r="G343" s="546"/>
      <c r="H343" s="546"/>
      <c r="I343" s="652"/>
      <c r="J343" s="652"/>
      <c r="K343" s="675"/>
      <c r="L343" s="652"/>
      <c r="M343" s="652"/>
      <c r="N343" s="652"/>
      <c r="O343" s="652"/>
      <c r="Q343" s="675"/>
    </row>
    <row r="344" spans="2:17" ht="18.75">
      <c r="B344" s="601"/>
      <c r="C344" s="600" t="s">
        <v>293</v>
      </c>
      <c r="D344" s="569"/>
      <c r="E344" s="546"/>
      <c r="F344" s="546"/>
      <c r="G344" s="546"/>
      <c r="H344" s="546"/>
      <c r="I344" s="652"/>
      <c r="J344" s="652"/>
      <c r="K344" s="675"/>
      <c r="L344" s="652"/>
      <c r="M344" s="652"/>
      <c r="N344" s="652"/>
      <c r="O344" s="652"/>
      <c r="Q344" s="675"/>
    </row>
    <row r="345" spans="2:17" ht="15.75" thickBot="1">
      <c r="B345" s="330"/>
      <c r="C345" s="396"/>
      <c r="D345" s="569"/>
      <c r="E345" s="546"/>
      <c r="F345" s="546"/>
      <c r="G345" s="546"/>
      <c r="H345" s="546"/>
      <c r="I345" s="652"/>
      <c r="J345" s="652"/>
      <c r="K345" s="675"/>
      <c r="L345" s="652"/>
      <c r="M345" s="652"/>
      <c r="N345" s="652"/>
      <c r="O345" s="652"/>
      <c r="Q345" s="675"/>
    </row>
    <row r="346" spans="2:17" ht="15.75">
      <c r="B346" s="330"/>
      <c r="C346" s="602" t="s">
        <v>294</v>
      </c>
      <c r="D346" s="569"/>
      <c r="E346" s="546"/>
      <c r="F346" s="546"/>
      <c r="G346" s="546"/>
      <c r="H346" s="851"/>
      <c r="I346" s="546" t="s">
        <v>273</v>
      </c>
      <c r="J346" s="546"/>
      <c r="K346" s="594"/>
      <c r="L346" s="773">
        <f>+J352</f>
        <v>2017</v>
      </c>
      <c r="M346" s="755" t="s">
        <v>256</v>
      </c>
      <c r="N346" s="755" t="s">
        <v>257</v>
      </c>
      <c r="O346" s="756" t="s">
        <v>258</v>
      </c>
      <c r="Q346" s="594"/>
    </row>
    <row r="347" spans="2:17" ht="15.75">
      <c r="B347" s="330"/>
      <c r="C347" s="602"/>
      <c r="D347" s="569"/>
      <c r="E347" s="546"/>
      <c r="F347" s="546"/>
      <c r="H347" s="546"/>
      <c r="I347" s="688"/>
      <c r="J347" s="688"/>
      <c r="K347" s="689"/>
      <c r="L347" s="774" t="s">
        <v>457</v>
      </c>
      <c r="M347" s="775">
        <f>VLOOKUP(J352,C359:P418,10)</f>
        <v>7946</v>
      </c>
      <c r="N347" s="775">
        <f>VLOOKUP(J352,C359:P418,12)</f>
        <v>7946</v>
      </c>
      <c r="O347" s="776">
        <f>+N347-M347</f>
        <v>0</v>
      </c>
      <c r="Q347" s="689"/>
    </row>
    <row r="348" spans="2:17" ht="12.75">
      <c r="B348" s="330"/>
      <c r="C348" s="693" t="s">
        <v>295</v>
      </c>
      <c r="D348" s="1524" t="s">
        <v>972</v>
      </c>
      <c r="E348" s="1525"/>
      <c r="F348" s="1525"/>
      <c r="G348" s="1525"/>
      <c r="H348" s="1525"/>
      <c r="I348" s="1525"/>
      <c r="J348" s="652"/>
      <c r="K348" s="675"/>
      <c r="L348" s="774" t="s">
        <v>458</v>
      </c>
      <c r="M348" s="777">
        <f>VLOOKUP(J352,C359:P418,6)</f>
        <v>152745.99575540258</v>
      </c>
      <c r="N348" s="777">
        <f>VLOOKUP(J352,C359:P418,7)</f>
        <v>152745.99575540258</v>
      </c>
      <c r="O348" s="778">
        <f>+N348-M348</f>
        <v>0</v>
      </c>
      <c r="Q348" s="675"/>
    </row>
    <row r="349" spans="2:17" ht="13.5" thickBot="1">
      <c r="B349" s="330"/>
      <c r="C349" s="697"/>
      <c r="D349" s="1525"/>
      <c r="E349" s="1525"/>
      <c r="F349" s="1525"/>
      <c r="G349" s="1525"/>
      <c r="H349" s="1525"/>
      <c r="I349" s="1525"/>
      <c r="J349" s="652"/>
      <c r="K349" s="675"/>
      <c r="L349" s="718" t="s">
        <v>459</v>
      </c>
      <c r="M349" s="779">
        <f>+M348-M347</f>
        <v>144799.99575540258</v>
      </c>
      <c r="N349" s="779">
        <f>+N348-N347</f>
        <v>144799.99575540258</v>
      </c>
      <c r="O349" s="780">
        <f>+O348-O347</f>
        <v>0</v>
      </c>
      <c r="Q349" s="675"/>
    </row>
    <row r="350" spans="2:17" ht="13.5" thickBot="1">
      <c r="B350" s="330"/>
      <c r="C350" s="700"/>
      <c r="D350" s="701"/>
      <c r="E350" s="699"/>
      <c r="F350" s="699"/>
      <c r="G350" s="699"/>
      <c r="H350" s="699"/>
      <c r="I350" s="699"/>
      <c r="J350" s="699"/>
      <c r="K350" s="702"/>
      <c r="L350" s="699"/>
      <c r="M350" s="699"/>
      <c r="N350" s="699"/>
      <c r="O350" s="699"/>
      <c r="P350" s="582"/>
      <c r="Q350" s="702"/>
    </row>
    <row r="351" spans="2:17" ht="13.5" thickBot="1">
      <c r="B351" s="330"/>
      <c r="C351" s="704" t="s">
        <v>296</v>
      </c>
      <c r="D351" s="705"/>
      <c r="E351" s="705"/>
      <c r="F351" s="705"/>
      <c r="G351" s="705"/>
      <c r="H351" s="705"/>
      <c r="I351" s="705"/>
      <c r="J351" s="705"/>
      <c r="K351" s="707"/>
      <c r="P351" s="708"/>
      <c r="Q351" s="707"/>
    </row>
    <row r="352" spans="1:17" ht="15">
      <c r="A352" s="703"/>
      <c r="B352" s="330"/>
      <c r="C352" s="710" t="s">
        <v>274</v>
      </c>
      <c r="D352" s="1277">
        <v>1063448</v>
      </c>
      <c r="E352" s="661" t="s">
        <v>275</v>
      </c>
      <c r="H352" s="711"/>
      <c r="I352" s="711"/>
      <c r="J352" s="712">
        <v>2017</v>
      </c>
      <c r="K352" s="592"/>
      <c r="L352" s="1515" t="s">
        <v>276</v>
      </c>
      <c r="M352" s="1515"/>
      <c r="N352" s="1515"/>
      <c r="O352" s="1515"/>
      <c r="P352" s="594"/>
      <c r="Q352" s="592"/>
    </row>
    <row r="353" spans="1:17" ht="12.75">
      <c r="A353" s="703"/>
      <c r="B353" s="330"/>
      <c r="C353" s="710" t="s">
        <v>277</v>
      </c>
      <c r="D353" s="1279">
        <v>2016</v>
      </c>
      <c r="E353" s="710" t="s">
        <v>278</v>
      </c>
      <c r="F353" s="711"/>
      <c r="G353" s="711"/>
      <c r="I353" s="330"/>
      <c r="J353" s="856">
        <v>0</v>
      </c>
      <c r="K353" s="713"/>
      <c r="L353" s="675" t="s">
        <v>477</v>
      </c>
      <c r="P353" s="594"/>
      <c r="Q353" s="713"/>
    </row>
    <row r="354" spans="1:17" ht="12.75">
      <c r="A354" s="703"/>
      <c r="B354" s="330"/>
      <c r="C354" s="710" t="s">
        <v>279</v>
      </c>
      <c r="D354" s="1278">
        <v>6</v>
      </c>
      <c r="E354" s="710" t="s">
        <v>280</v>
      </c>
      <c r="F354" s="711"/>
      <c r="G354" s="711"/>
      <c r="I354" s="330"/>
      <c r="J354" s="714">
        <f>$F$68</f>
        <v>0.12860879667906705</v>
      </c>
      <c r="K354" s="715"/>
      <c r="L354" s="546" t="str">
        <f>"          INPUT TRUE-UP ARR (WITH &amp; WITHOUT INCENTIVES) FROM EACH PRIOR YEAR"</f>
        <v>          INPUT TRUE-UP ARR (WITH &amp; WITHOUT INCENTIVES) FROM EACH PRIOR YEAR</v>
      </c>
      <c r="P354" s="594"/>
      <c r="Q354" s="715"/>
    </row>
    <row r="355" spans="1:17" ht="12.75">
      <c r="A355" s="703"/>
      <c r="B355" s="330"/>
      <c r="C355" s="710" t="s">
        <v>281</v>
      </c>
      <c r="D355" s="716">
        <f>$H$77</f>
        <v>58</v>
      </c>
      <c r="E355" s="710" t="s">
        <v>282</v>
      </c>
      <c r="F355" s="711"/>
      <c r="G355" s="711"/>
      <c r="I355" s="330"/>
      <c r="J355" s="714">
        <f>IF(H346="",J354,$F$67)</f>
        <v>0.12860879667906705</v>
      </c>
      <c r="K355" s="717"/>
      <c r="L355" s="546" t="s">
        <v>364</v>
      </c>
      <c r="M355" s="717"/>
      <c r="N355" s="717"/>
      <c r="O355" s="717"/>
      <c r="P355" s="594"/>
      <c r="Q355" s="717"/>
    </row>
    <row r="356" spans="1:17" ht="13.5" thickBot="1">
      <c r="A356" s="703"/>
      <c r="B356" s="330"/>
      <c r="C356" s="710" t="s">
        <v>283</v>
      </c>
      <c r="D356" s="1280" t="s">
        <v>879</v>
      </c>
      <c r="E356" s="718" t="s">
        <v>284</v>
      </c>
      <c r="F356" s="719"/>
      <c r="G356" s="719"/>
      <c r="H356" s="720"/>
      <c r="I356" s="720"/>
      <c r="J356" s="696">
        <f>IF(D352=0,0,D352/D355)</f>
        <v>18335.310344827587</v>
      </c>
      <c r="K356" s="675"/>
      <c r="L356" s="675" t="s">
        <v>365</v>
      </c>
      <c r="M356" s="675"/>
      <c r="N356" s="675"/>
      <c r="O356" s="675"/>
      <c r="P356" s="594"/>
      <c r="Q356" s="675"/>
    </row>
    <row r="357" spans="1:17" ht="38.25">
      <c r="A357" s="531"/>
      <c r="B357" s="531"/>
      <c r="C357" s="721" t="s">
        <v>274</v>
      </c>
      <c r="D357" s="722" t="s">
        <v>285</v>
      </c>
      <c r="E357" s="723" t="s">
        <v>286</v>
      </c>
      <c r="F357" s="722" t="s">
        <v>287</v>
      </c>
      <c r="G357" s="722" t="s">
        <v>460</v>
      </c>
      <c r="H357" s="723" t="s">
        <v>358</v>
      </c>
      <c r="I357" s="724" t="s">
        <v>358</v>
      </c>
      <c r="J357" s="721" t="s">
        <v>297</v>
      </c>
      <c r="K357" s="725"/>
      <c r="L357" s="723" t="s">
        <v>360</v>
      </c>
      <c r="M357" s="723" t="s">
        <v>366</v>
      </c>
      <c r="N357" s="723" t="s">
        <v>360</v>
      </c>
      <c r="O357" s="723" t="s">
        <v>368</v>
      </c>
      <c r="P357" s="723" t="s">
        <v>288</v>
      </c>
      <c r="Q357" s="727"/>
    </row>
    <row r="358" spans="2:17" ht="13.5" thickBot="1">
      <c r="B358" s="330"/>
      <c r="C358" s="728" t="s">
        <v>179</v>
      </c>
      <c r="D358" s="729" t="s">
        <v>180</v>
      </c>
      <c r="E358" s="728" t="s">
        <v>38</v>
      </c>
      <c r="F358" s="729" t="s">
        <v>180</v>
      </c>
      <c r="G358" s="729" t="s">
        <v>180</v>
      </c>
      <c r="H358" s="730" t="s">
        <v>300</v>
      </c>
      <c r="I358" s="731" t="s">
        <v>302</v>
      </c>
      <c r="J358" s="732" t="s">
        <v>391</v>
      </c>
      <c r="K358" s="733"/>
      <c r="L358" s="730" t="s">
        <v>289</v>
      </c>
      <c r="M358" s="730" t="s">
        <v>289</v>
      </c>
      <c r="N358" s="730" t="s">
        <v>469</v>
      </c>
      <c r="O358" s="730" t="s">
        <v>469</v>
      </c>
      <c r="P358" s="730" t="s">
        <v>469</v>
      </c>
      <c r="Q358" s="592"/>
    </row>
    <row r="359" spans="2:17" ht="12.75">
      <c r="B359" s="330"/>
      <c r="C359" s="735">
        <f>IF(D353="","-",D353)</f>
        <v>2016</v>
      </c>
      <c r="D359" s="679">
        <f>+D352</f>
        <v>1063448</v>
      </c>
      <c r="E359" s="736">
        <f>+J356/12*(12-D354)</f>
        <v>9167.655172413793</v>
      </c>
      <c r="F359" s="781">
        <f aca="true" t="shared" si="32" ref="F359:F418">+D359-E359</f>
        <v>1054280.3448275863</v>
      </c>
      <c r="G359" s="679">
        <f aca="true" t="shared" si="33" ref="G359:G418">+(D359+F359)/2</f>
        <v>1058864.1724137932</v>
      </c>
      <c r="H359" s="737">
        <f>+J354*G359+E359</f>
        <v>145346.9022331279</v>
      </c>
      <c r="I359" s="738">
        <f>+J355*G359+E359</f>
        <v>145346.9022331279</v>
      </c>
      <c r="J359" s="739">
        <f aca="true" t="shared" si="34" ref="J359:J418">+I359-H359</f>
        <v>0</v>
      </c>
      <c r="K359" s="739"/>
      <c r="L359" s="1255">
        <v>226163</v>
      </c>
      <c r="M359" s="782">
        <f aca="true" t="shared" si="35" ref="M359:M418">IF(L359&lt;&gt;0,+H359-L359,0)</f>
        <v>-80816.09776687209</v>
      </c>
      <c r="N359" s="1255">
        <v>226163</v>
      </c>
      <c r="O359" s="782">
        <f aca="true" t="shared" si="36" ref="O359:O418">IF(N359&lt;&gt;0,+I359-N359,0)</f>
        <v>-80816.09776687209</v>
      </c>
      <c r="P359" s="782">
        <f aca="true" t="shared" si="37" ref="P359:P418">+O359-M359</f>
        <v>0</v>
      </c>
      <c r="Q359" s="680"/>
    </row>
    <row r="360" spans="2:17" ht="12.75">
      <c r="B360" s="330"/>
      <c r="C360" s="1229">
        <f>IF(D353="","-",+C359+1)</f>
        <v>2017</v>
      </c>
      <c r="D360" s="679">
        <f aca="true" t="shared" si="38" ref="D360:D418">F359</f>
        <v>1054280.3448275863</v>
      </c>
      <c r="E360" s="741">
        <f>IF(D360&gt;$J$356,$J$356,D360)</f>
        <v>18335.310344827587</v>
      </c>
      <c r="F360" s="741">
        <f t="shared" si="32"/>
        <v>1035945.0344827587</v>
      </c>
      <c r="G360" s="679">
        <f t="shared" si="33"/>
        <v>1045112.6896551725</v>
      </c>
      <c r="H360" s="736">
        <f>+J354*G360+E360</f>
        <v>152745.99575540258</v>
      </c>
      <c r="I360" s="742">
        <f>+J355*G360+E360</f>
        <v>152745.99575540258</v>
      </c>
      <c r="J360" s="739">
        <f t="shared" si="34"/>
        <v>0</v>
      </c>
      <c r="K360" s="739"/>
      <c r="L360" s="1256">
        <v>7946</v>
      </c>
      <c r="M360" s="739">
        <f t="shared" si="35"/>
        <v>144799.99575540258</v>
      </c>
      <c r="N360" s="1256">
        <v>7946</v>
      </c>
      <c r="O360" s="739">
        <f t="shared" si="36"/>
        <v>144799.99575540258</v>
      </c>
      <c r="P360" s="739">
        <f t="shared" si="37"/>
        <v>0</v>
      </c>
      <c r="Q360" s="680"/>
    </row>
    <row r="361" spans="2:17" ht="12.75">
      <c r="B361" s="330"/>
      <c r="C361" s="735">
        <f>IF(D353="","-",+C360+1)</f>
        <v>2018</v>
      </c>
      <c r="D361" s="679">
        <f t="shared" si="38"/>
        <v>1035945.0344827587</v>
      </c>
      <c r="E361" s="741">
        <f aca="true" t="shared" si="39" ref="E361:E418">IF(D361&gt;$J$356,$J$356,D361)</f>
        <v>18335.310344827587</v>
      </c>
      <c r="F361" s="741">
        <f t="shared" si="32"/>
        <v>1017609.7241379311</v>
      </c>
      <c r="G361" s="679">
        <f t="shared" si="33"/>
        <v>1026777.3793103449</v>
      </c>
      <c r="H361" s="736">
        <f>+J354*G361+E361</f>
        <v>150387.91355521706</v>
      </c>
      <c r="I361" s="742">
        <f>+J355*G361+E361</f>
        <v>150387.91355521706</v>
      </c>
      <c r="J361" s="739">
        <f t="shared" si="34"/>
        <v>0</v>
      </c>
      <c r="K361" s="739"/>
      <c r="L361" s="1256"/>
      <c r="M361" s="739">
        <f t="shared" si="35"/>
        <v>0</v>
      </c>
      <c r="N361" s="1256"/>
      <c r="O361" s="739">
        <f t="shared" si="36"/>
        <v>0</v>
      </c>
      <c r="P361" s="739">
        <f t="shared" si="37"/>
        <v>0</v>
      </c>
      <c r="Q361" s="680"/>
    </row>
    <row r="362" spans="2:17" ht="12.75">
      <c r="B362" s="330"/>
      <c r="C362" s="1258">
        <f>IF(D353="","-",+C361+1)</f>
        <v>2019</v>
      </c>
      <c r="D362" s="679">
        <f t="shared" si="38"/>
        <v>1017609.7241379311</v>
      </c>
      <c r="E362" s="741">
        <f t="shared" si="39"/>
        <v>18335.310344827587</v>
      </c>
      <c r="F362" s="741">
        <f t="shared" si="32"/>
        <v>999274.4137931035</v>
      </c>
      <c r="G362" s="679">
        <f t="shared" si="33"/>
        <v>1008442.0689655173</v>
      </c>
      <c r="H362" s="736">
        <f>+J354*G362+E362</f>
        <v>148029.83135503152</v>
      </c>
      <c r="I362" s="742">
        <f>+J355*G362+E362</f>
        <v>148029.83135503152</v>
      </c>
      <c r="J362" s="739">
        <f t="shared" si="34"/>
        <v>0</v>
      </c>
      <c r="K362" s="739"/>
      <c r="L362" s="1256"/>
      <c r="M362" s="739">
        <f t="shared" si="35"/>
        <v>0</v>
      </c>
      <c r="N362" s="1256"/>
      <c r="O362" s="739">
        <f t="shared" si="36"/>
        <v>0</v>
      </c>
      <c r="P362" s="739">
        <f t="shared" si="37"/>
        <v>0</v>
      </c>
      <c r="Q362" s="680"/>
    </row>
    <row r="363" spans="2:17" ht="12.75">
      <c r="B363" s="330"/>
      <c r="C363" s="735">
        <f>IF(D353="","-",+C362+1)</f>
        <v>2020</v>
      </c>
      <c r="D363" s="679">
        <f t="shared" si="38"/>
        <v>999274.4137931035</v>
      </c>
      <c r="E363" s="741">
        <f t="shared" si="39"/>
        <v>18335.310344827587</v>
      </c>
      <c r="F363" s="741">
        <f t="shared" si="32"/>
        <v>980939.103448276</v>
      </c>
      <c r="G363" s="679">
        <f t="shared" si="33"/>
        <v>990106.7586206897</v>
      </c>
      <c r="H363" s="736">
        <f>+J354*G363+E363</f>
        <v>145671.74915484598</v>
      </c>
      <c r="I363" s="742">
        <f>+J355*G363+E363</f>
        <v>145671.74915484598</v>
      </c>
      <c r="J363" s="739">
        <f t="shared" si="34"/>
        <v>0</v>
      </c>
      <c r="K363" s="739"/>
      <c r="L363" s="1256"/>
      <c r="M363" s="739">
        <f t="shared" si="35"/>
        <v>0</v>
      </c>
      <c r="N363" s="1256"/>
      <c r="O363" s="739">
        <f t="shared" si="36"/>
        <v>0</v>
      </c>
      <c r="P363" s="739">
        <f t="shared" si="37"/>
        <v>0</v>
      </c>
      <c r="Q363" s="680"/>
    </row>
    <row r="364" spans="2:17" ht="12.75">
      <c r="B364" s="330"/>
      <c r="C364" s="735">
        <f>IF(D353="","-",+C363+1)</f>
        <v>2021</v>
      </c>
      <c r="D364" s="679">
        <f t="shared" si="38"/>
        <v>980939.103448276</v>
      </c>
      <c r="E364" s="741">
        <f t="shared" si="39"/>
        <v>18335.310344827587</v>
      </c>
      <c r="F364" s="741">
        <f t="shared" si="32"/>
        <v>962603.7931034483</v>
      </c>
      <c r="G364" s="679">
        <f t="shared" si="33"/>
        <v>971771.4482758621</v>
      </c>
      <c r="H364" s="736">
        <f>+J354*G364+E364</f>
        <v>143313.66695466047</v>
      </c>
      <c r="I364" s="742">
        <f>+J355*G364+E364</f>
        <v>143313.66695466047</v>
      </c>
      <c r="J364" s="739">
        <f t="shared" si="34"/>
        <v>0</v>
      </c>
      <c r="K364" s="739"/>
      <c r="L364" s="1256"/>
      <c r="M364" s="739">
        <f t="shared" si="35"/>
        <v>0</v>
      </c>
      <c r="N364" s="1256"/>
      <c r="O364" s="739">
        <f t="shared" si="36"/>
        <v>0</v>
      </c>
      <c r="P364" s="739">
        <f t="shared" si="37"/>
        <v>0</v>
      </c>
      <c r="Q364" s="680"/>
    </row>
    <row r="365" spans="2:17" ht="12.75">
      <c r="B365" s="330"/>
      <c r="C365" s="735">
        <f>IF(D353="","-",+C364+1)</f>
        <v>2022</v>
      </c>
      <c r="D365" s="679">
        <f t="shared" si="38"/>
        <v>962603.7931034483</v>
      </c>
      <c r="E365" s="741">
        <f t="shared" si="39"/>
        <v>18335.310344827587</v>
      </c>
      <c r="F365" s="741">
        <f t="shared" si="32"/>
        <v>944268.4827586208</v>
      </c>
      <c r="G365" s="679">
        <f t="shared" si="33"/>
        <v>953436.1379310346</v>
      </c>
      <c r="H365" s="736">
        <f>+J354*G365+E365</f>
        <v>140955.58475447493</v>
      </c>
      <c r="I365" s="742">
        <f>+J355*G365+E365</f>
        <v>140955.58475447493</v>
      </c>
      <c r="J365" s="739">
        <f t="shared" si="34"/>
        <v>0</v>
      </c>
      <c r="K365" s="739"/>
      <c r="L365" s="1256"/>
      <c r="M365" s="739">
        <f t="shared" si="35"/>
        <v>0</v>
      </c>
      <c r="N365" s="1256"/>
      <c r="O365" s="739">
        <f t="shared" si="36"/>
        <v>0</v>
      </c>
      <c r="P365" s="739">
        <f t="shared" si="37"/>
        <v>0</v>
      </c>
      <c r="Q365" s="680"/>
    </row>
    <row r="366" spans="2:17" ht="12.75">
      <c r="B366" s="330"/>
      <c r="C366" s="735">
        <f>IF(D353="","-",+C365+1)</f>
        <v>2023</v>
      </c>
      <c r="D366" s="679">
        <f t="shared" si="38"/>
        <v>944268.4827586208</v>
      </c>
      <c r="E366" s="741">
        <f t="shared" si="39"/>
        <v>18335.310344827587</v>
      </c>
      <c r="F366" s="741">
        <f t="shared" si="32"/>
        <v>925933.1724137932</v>
      </c>
      <c r="G366" s="679">
        <f t="shared" si="33"/>
        <v>935100.827586207</v>
      </c>
      <c r="H366" s="736">
        <f>+J354*G366+E366</f>
        <v>138597.5025542894</v>
      </c>
      <c r="I366" s="742">
        <f>+J355*G366+E366</f>
        <v>138597.5025542894</v>
      </c>
      <c r="J366" s="739">
        <f t="shared" si="34"/>
        <v>0</v>
      </c>
      <c r="K366" s="739"/>
      <c r="L366" s="1256"/>
      <c r="M366" s="739">
        <f t="shared" si="35"/>
        <v>0</v>
      </c>
      <c r="N366" s="1256"/>
      <c r="O366" s="739">
        <f t="shared" si="36"/>
        <v>0</v>
      </c>
      <c r="P366" s="739">
        <f t="shared" si="37"/>
        <v>0</v>
      </c>
      <c r="Q366" s="680"/>
    </row>
    <row r="367" spans="2:17" ht="12.75">
      <c r="B367" s="330"/>
      <c r="C367" s="735">
        <f>IF(D353="","-",+C366+1)</f>
        <v>2024</v>
      </c>
      <c r="D367" s="679">
        <f t="shared" si="38"/>
        <v>925933.1724137932</v>
      </c>
      <c r="E367" s="741">
        <f t="shared" si="39"/>
        <v>18335.310344827587</v>
      </c>
      <c r="F367" s="741">
        <f t="shared" si="32"/>
        <v>907597.8620689656</v>
      </c>
      <c r="G367" s="679">
        <f t="shared" si="33"/>
        <v>916765.5172413794</v>
      </c>
      <c r="H367" s="736">
        <f>+J354*G367+E367</f>
        <v>136239.42035410387</v>
      </c>
      <c r="I367" s="742">
        <f>+J355*G367+E367</f>
        <v>136239.42035410387</v>
      </c>
      <c r="J367" s="739">
        <f t="shared" si="34"/>
        <v>0</v>
      </c>
      <c r="K367" s="739"/>
      <c r="L367" s="1256"/>
      <c r="M367" s="739">
        <f t="shared" si="35"/>
        <v>0</v>
      </c>
      <c r="N367" s="1256"/>
      <c r="O367" s="739">
        <f t="shared" si="36"/>
        <v>0</v>
      </c>
      <c r="P367" s="739">
        <f t="shared" si="37"/>
        <v>0</v>
      </c>
      <c r="Q367" s="680"/>
    </row>
    <row r="368" spans="2:17" ht="12.75">
      <c r="B368" s="330"/>
      <c r="C368" s="1258">
        <f>IF(D353="","-",+C367+1)</f>
        <v>2025</v>
      </c>
      <c r="D368" s="679">
        <f t="shared" si="38"/>
        <v>907597.8620689656</v>
      </c>
      <c r="E368" s="741">
        <f t="shared" si="39"/>
        <v>18335.310344827587</v>
      </c>
      <c r="F368" s="741">
        <f t="shared" si="32"/>
        <v>889262.551724138</v>
      </c>
      <c r="G368" s="679">
        <f t="shared" si="33"/>
        <v>898430.2068965518</v>
      </c>
      <c r="H368" s="736">
        <f>+J354*G368+E368</f>
        <v>133881.33815391836</v>
      </c>
      <c r="I368" s="742">
        <f>+J355*G368+E368</f>
        <v>133881.33815391836</v>
      </c>
      <c r="J368" s="739">
        <f t="shared" si="34"/>
        <v>0</v>
      </c>
      <c r="K368" s="739"/>
      <c r="L368" s="1256"/>
      <c r="M368" s="739">
        <f t="shared" si="35"/>
        <v>0</v>
      </c>
      <c r="N368" s="1256"/>
      <c r="O368" s="739">
        <f t="shared" si="36"/>
        <v>0</v>
      </c>
      <c r="P368" s="739">
        <f t="shared" si="37"/>
        <v>0</v>
      </c>
      <c r="Q368" s="680"/>
    </row>
    <row r="369" spans="2:17" ht="12.75">
      <c r="B369" s="330"/>
      <c r="C369" s="735">
        <f>IF(D353="","-",+C368+1)</f>
        <v>2026</v>
      </c>
      <c r="D369" s="679">
        <f t="shared" si="38"/>
        <v>889262.551724138</v>
      </c>
      <c r="E369" s="741">
        <f t="shared" si="39"/>
        <v>18335.310344827587</v>
      </c>
      <c r="F369" s="741">
        <f t="shared" si="32"/>
        <v>870927.2413793104</v>
      </c>
      <c r="G369" s="679">
        <f t="shared" si="33"/>
        <v>880094.8965517242</v>
      </c>
      <c r="H369" s="736">
        <f>+J354*G369+E369</f>
        <v>131523.25595373282</v>
      </c>
      <c r="I369" s="742">
        <f>+J355*G369+E369</f>
        <v>131523.25595373282</v>
      </c>
      <c r="J369" s="739">
        <f t="shared" si="34"/>
        <v>0</v>
      </c>
      <c r="K369" s="739"/>
      <c r="L369" s="743"/>
      <c r="M369" s="739">
        <f t="shared" si="35"/>
        <v>0</v>
      </c>
      <c r="N369" s="743"/>
      <c r="O369" s="739">
        <f t="shared" si="36"/>
        <v>0</v>
      </c>
      <c r="P369" s="739">
        <f t="shared" si="37"/>
        <v>0</v>
      </c>
      <c r="Q369" s="680"/>
    </row>
    <row r="370" spans="2:17" ht="12.75">
      <c r="B370" s="330"/>
      <c r="C370" s="735">
        <f>IF(D353="","-",+C369+1)</f>
        <v>2027</v>
      </c>
      <c r="D370" s="679">
        <f t="shared" si="38"/>
        <v>870927.2413793104</v>
      </c>
      <c r="E370" s="741">
        <f t="shared" si="39"/>
        <v>18335.310344827587</v>
      </c>
      <c r="F370" s="741">
        <f t="shared" si="32"/>
        <v>852591.9310344828</v>
      </c>
      <c r="G370" s="679">
        <f t="shared" si="33"/>
        <v>861759.5862068966</v>
      </c>
      <c r="H370" s="736">
        <f>+J354*G370+E370</f>
        <v>129165.17375354731</v>
      </c>
      <c r="I370" s="742">
        <f>+J355*G370+E370</f>
        <v>129165.17375354731</v>
      </c>
      <c r="J370" s="739">
        <f t="shared" si="34"/>
        <v>0</v>
      </c>
      <c r="K370" s="739"/>
      <c r="L370" s="743"/>
      <c r="M370" s="739">
        <f t="shared" si="35"/>
        <v>0</v>
      </c>
      <c r="N370" s="743"/>
      <c r="O370" s="739">
        <f t="shared" si="36"/>
        <v>0</v>
      </c>
      <c r="P370" s="739">
        <f t="shared" si="37"/>
        <v>0</v>
      </c>
      <c r="Q370" s="680"/>
    </row>
    <row r="371" spans="2:17" ht="12.75">
      <c r="B371" s="330"/>
      <c r="C371" s="735">
        <f>IF(D353="","-",+C370+1)</f>
        <v>2028</v>
      </c>
      <c r="D371" s="679">
        <f t="shared" si="38"/>
        <v>852591.9310344828</v>
      </c>
      <c r="E371" s="741">
        <f t="shared" si="39"/>
        <v>18335.310344827587</v>
      </c>
      <c r="F371" s="741">
        <f t="shared" si="32"/>
        <v>834256.6206896552</v>
      </c>
      <c r="G371" s="679">
        <f t="shared" si="33"/>
        <v>843424.275862069</v>
      </c>
      <c r="H371" s="736">
        <f>+J354*G371+E371</f>
        <v>126807.09155336177</v>
      </c>
      <c r="I371" s="742">
        <f>+J355*G371+E371</f>
        <v>126807.09155336177</v>
      </c>
      <c r="J371" s="739">
        <f t="shared" si="34"/>
        <v>0</v>
      </c>
      <c r="K371" s="739"/>
      <c r="L371" s="743"/>
      <c r="M371" s="739">
        <f t="shared" si="35"/>
        <v>0</v>
      </c>
      <c r="N371" s="743"/>
      <c r="O371" s="739">
        <f t="shared" si="36"/>
        <v>0</v>
      </c>
      <c r="P371" s="739">
        <f t="shared" si="37"/>
        <v>0</v>
      </c>
      <c r="Q371" s="680"/>
    </row>
    <row r="372" spans="2:17" ht="12.75">
      <c r="B372" s="330"/>
      <c r="C372" s="735">
        <f>IF(D353="","-",+C371+1)</f>
        <v>2029</v>
      </c>
      <c r="D372" s="679">
        <f t="shared" si="38"/>
        <v>834256.6206896552</v>
      </c>
      <c r="E372" s="741">
        <f t="shared" si="39"/>
        <v>18335.310344827587</v>
      </c>
      <c r="F372" s="741">
        <f t="shared" si="32"/>
        <v>815921.3103448276</v>
      </c>
      <c r="G372" s="679">
        <f t="shared" si="33"/>
        <v>825088.9655172414</v>
      </c>
      <c r="H372" s="736">
        <f>+J354*G372+E372</f>
        <v>124449.00935317625</v>
      </c>
      <c r="I372" s="742">
        <f>+J355*G372+E372</f>
        <v>124449.00935317625</v>
      </c>
      <c r="J372" s="739">
        <f t="shared" si="34"/>
        <v>0</v>
      </c>
      <c r="K372" s="739"/>
      <c r="L372" s="743"/>
      <c r="M372" s="739">
        <f t="shared" si="35"/>
        <v>0</v>
      </c>
      <c r="N372" s="743"/>
      <c r="O372" s="739">
        <f t="shared" si="36"/>
        <v>0</v>
      </c>
      <c r="P372" s="739">
        <f t="shared" si="37"/>
        <v>0</v>
      </c>
      <c r="Q372" s="680"/>
    </row>
    <row r="373" spans="2:17" ht="12.75">
      <c r="B373" s="330"/>
      <c r="C373" s="735">
        <f>IF(D353="","-",+C372+1)</f>
        <v>2030</v>
      </c>
      <c r="D373" s="679">
        <f t="shared" si="38"/>
        <v>815921.3103448276</v>
      </c>
      <c r="E373" s="741">
        <f t="shared" si="39"/>
        <v>18335.310344827587</v>
      </c>
      <c r="F373" s="741">
        <f t="shared" si="32"/>
        <v>797586</v>
      </c>
      <c r="G373" s="679">
        <f t="shared" si="33"/>
        <v>806753.6551724138</v>
      </c>
      <c r="H373" s="736">
        <f>+J354*G373+E373</f>
        <v>122090.92715299071</v>
      </c>
      <c r="I373" s="742">
        <f>+J355*G373+E373</f>
        <v>122090.92715299071</v>
      </c>
      <c r="J373" s="739">
        <f t="shared" si="34"/>
        <v>0</v>
      </c>
      <c r="K373" s="739"/>
      <c r="L373" s="743"/>
      <c r="M373" s="739">
        <f t="shared" si="35"/>
        <v>0</v>
      </c>
      <c r="N373" s="743"/>
      <c r="O373" s="739">
        <f t="shared" si="36"/>
        <v>0</v>
      </c>
      <c r="P373" s="739">
        <f t="shared" si="37"/>
        <v>0</v>
      </c>
      <c r="Q373" s="680"/>
    </row>
    <row r="374" spans="2:17" ht="12.75">
      <c r="B374" s="330"/>
      <c r="C374" s="735">
        <f>IF(D353="","-",+C373+1)</f>
        <v>2031</v>
      </c>
      <c r="D374" s="679">
        <f t="shared" si="38"/>
        <v>797586</v>
      </c>
      <c r="E374" s="741">
        <f t="shared" si="39"/>
        <v>18335.310344827587</v>
      </c>
      <c r="F374" s="741">
        <f t="shared" si="32"/>
        <v>779250.6896551724</v>
      </c>
      <c r="G374" s="679">
        <f t="shared" si="33"/>
        <v>788418.3448275862</v>
      </c>
      <c r="H374" s="736">
        <f>+J354*G374+E374</f>
        <v>119732.8449528052</v>
      </c>
      <c r="I374" s="742">
        <f>+J355*G374+E374</f>
        <v>119732.8449528052</v>
      </c>
      <c r="J374" s="739">
        <f t="shared" si="34"/>
        <v>0</v>
      </c>
      <c r="K374" s="739"/>
      <c r="L374" s="743"/>
      <c r="M374" s="739">
        <f t="shared" si="35"/>
        <v>0</v>
      </c>
      <c r="N374" s="743"/>
      <c r="O374" s="739">
        <f t="shared" si="36"/>
        <v>0</v>
      </c>
      <c r="P374" s="739">
        <f t="shared" si="37"/>
        <v>0</v>
      </c>
      <c r="Q374" s="680"/>
    </row>
    <row r="375" spans="2:17" ht="12.75">
      <c r="B375" s="330"/>
      <c r="C375" s="735">
        <f>IF(D353="","-",+C374+1)</f>
        <v>2032</v>
      </c>
      <c r="D375" s="679">
        <f t="shared" si="38"/>
        <v>779250.6896551724</v>
      </c>
      <c r="E375" s="741">
        <f t="shared" si="39"/>
        <v>18335.310344827587</v>
      </c>
      <c r="F375" s="741">
        <f t="shared" si="32"/>
        <v>760915.3793103448</v>
      </c>
      <c r="G375" s="679">
        <f t="shared" si="33"/>
        <v>770083.0344827586</v>
      </c>
      <c r="H375" s="736">
        <f>+J354*G375+E375</f>
        <v>117374.76275261966</v>
      </c>
      <c r="I375" s="742">
        <f>+J355*G375+E375</f>
        <v>117374.76275261966</v>
      </c>
      <c r="J375" s="739">
        <f t="shared" si="34"/>
        <v>0</v>
      </c>
      <c r="K375" s="739"/>
      <c r="L375" s="743"/>
      <c r="M375" s="739">
        <f t="shared" si="35"/>
        <v>0</v>
      </c>
      <c r="N375" s="743"/>
      <c r="O375" s="739">
        <f t="shared" si="36"/>
        <v>0</v>
      </c>
      <c r="P375" s="739">
        <f t="shared" si="37"/>
        <v>0</v>
      </c>
      <c r="Q375" s="680"/>
    </row>
    <row r="376" spans="2:17" ht="12.75">
      <c r="B376" s="330"/>
      <c r="C376" s="735">
        <f>IF(D353="","-",+C375+1)</f>
        <v>2033</v>
      </c>
      <c r="D376" s="679">
        <f t="shared" si="38"/>
        <v>760915.3793103448</v>
      </c>
      <c r="E376" s="741">
        <f t="shared" si="39"/>
        <v>18335.310344827587</v>
      </c>
      <c r="F376" s="741">
        <f t="shared" si="32"/>
        <v>742580.0689655172</v>
      </c>
      <c r="G376" s="679">
        <f t="shared" si="33"/>
        <v>751747.724137931</v>
      </c>
      <c r="H376" s="736">
        <f>+J354*G376+E376</f>
        <v>115016.68055243415</v>
      </c>
      <c r="I376" s="742">
        <f>+J355*G376+E376</f>
        <v>115016.68055243415</v>
      </c>
      <c r="J376" s="739">
        <f t="shared" si="34"/>
        <v>0</v>
      </c>
      <c r="K376" s="739"/>
      <c r="L376" s="743"/>
      <c r="M376" s="739">
        <f t="shared" si="35"/>
        <v>0</v>
      </c>
      <c r="N376" s="743"/>
      <c r="O376" s="739">
        <f t="shared" si="36"/>
        <v>0</v>
      </c>
      <c r="P376" s="739">
        <f t="shared" si="37"/>
        <v>0</v>
      </c>
      <c r="Q376" s="680"/>
    </row>
    <row r="377" spans="2:17" ht="12.75">
      <c r="B377" s="330"/>
      <c r="C377" s="735">
        <f>IF(D353="","-",+C376+1)</f>
        <v>2034</v>
      </c>
      <c r="D377" s="679">
        <f t="shared" si="38"/>
        <v>742580.0689655172</v>
      </c>
      <c r="E377" s="741">
        <f t="shared" si="39"/>
        <v>18335.310344827587</v>
      </c>
      <c r="F377" s="741">
        <f t="shared" si="32"/>
        <v>724244.7586206896</v>
      </c>
      <c r="G377" s="679">
        <f t="shared" si="33"/>
        <v>733412.4137931034</v>
      </c>
      <c r="H377" s="736">
        <f>+J354*G377+E377</f>
        <v>112658.5983522486</v>
      </c>
      <c r="I377" s="742">
        <f>+J355*G377+E377</f>
        <v>112658.5983522486</v>
      </c>
      <c r="J377" s="739">
        <f t="shared" si="34"/>
        <v>0</v>
      </c>
      <c r="K377" s="739"/>
      <c r="L377" s="743"/>
      <c r="M377" s="739">
        <f t="shared" si="35"/>
        <v>0</v>
      </c>
      <c r="N377" s="743"/>
      <c r="O377" s="739">
        <f t="shared" si="36"/>
        <v>0</v>
      </c>
      <c r="P377" s="739">
        <f t="shared" si="37"/>
        <v>0</v>
      </c>
      <c r="Q377" s="680"/>
    </row>
    <row r="378" spans="2:17" ht="12.75">
      <c r="B378" s="330"/>
      <c r="C378" s="735">
        <f>IF(D353="","-",+C377+1)</f>
        <v>2035</v>
      </c>
      <c r="D378" s="679">
        <f t="shared" si="38"/>
        <v>724244.7586206896</v>
      </c>
      <c r="E378" s="741">
        <f t="shared" si="39"/>
        <v>18335.310344827587</v>
      </c>
      <c r="F378" s="741">
        <f t="shared" si="32"/>
        <v>705909.448275862</v>
      </c>
      <c r="G378" s="679">
        <f t="shared" si="33"/>
        <v>715077.1034482758</v>
      </c>
      <c r="H378" s="736">
        <f>+J354*G378+E378</f>
        <v>110300.5161520631</v>
      </c>
      <c r="I378" s="742">
        <f>+J355*G378+E378</f>
        <v>110300.5161520631</v>
      </c>
      <c r="J378" s="739">
        <f t="shared" si="34"/>
        <v>0</v>
      </c>
      <c r="K378" s="739"/>
      <c r="L378" s="743"/>
      <c r="M378" s="739">
        <f t="shared" si="35"/>
        <v>0</v>
      </c>
      <c r="N378" s="743"/>
      <c r="O378" s="739">
        <f t="shared" si="36"/>
        <v>0</v>
      </c>
      <c r="P378" s="739">
        <f t="shared" si="37"/>
        <v>0</v>
      </c>
      <c r="Q378" s="680"/>
    </row>
    <row r="379" spans="2:17" ht="12.75">
      <c r="B379" s="330"/>
      <c r="C379" s="735">
        <f>IF(D353="","-",+C378+1)</f>
        <v>2036</v>
      </c>
      <c r="D379" s="679">
        <f t="shared" si="38"/>
        <v>705909.448275862</v>
      </c>
      <c r="E379" s="741">
        <f t="shared" si="39"/>
        <v>18335.310344827587</v>
      </c>
      <c r="F379" s="741">
        <f t="shared" si="32"/>
        <v>687574.1379310344</v>
      </c>
      <c r="G379" s="679">
        <f t="shared" si="33"/>
        <v>696741.7931034482</v>
      </c>
      <c r="H379" s="736">
        <f>+J354*G379+E379</f>
        <v>107942.43395187755</v>
      </c>
      <c r="I379" s="742">
        <f>+J355*G379+E379</f>
        <v>107942.43395187755</v>
      </c>
      <c r="J379" s="739">
        <f t="shared" si="34"/>
        <v>0</v>
      </c>
      <c r="K379" s="739"/>
      <c r="L379" s="743"/>
      <c r="M379" s="739">
        <f t="shared" si="35"/>
        <v>0</v>
      </c>
      <c r="N379" s="743"/>
      <c r="O379" s="739">
        <f t="shared" si="36"/>
        <v>0</v>
      </c>
      <c r="P379" s="739">
        <f t="shared" si="37"/>
        <v>0</v>
      </c>
      <c r="Q379" s="680"/>
    </row>
    <row r="380" spans="2:17" ht="12.75">
      <c r="B380" s="330"/>
      <c r="C380" s="735">
        <f>IF(D353="","-",+C379+1)</f>
        <v>2037</v>
      </c>
      <c r="D380" s="679">
        <f t="shared" si="38"/>
        <v>687574.1379310344</v>
      </c>
      <c r="E380" s="741">
        <f t="shared" si="39"/>
        <v>18335.310344827587</v>
      </c>
      <c r="F380" s="741">
        <f t="shared" si="32"/>
        <v>669238.8275862068</v>
      </c>
      <c r="G380" s="679">
        <f t="shared" si="33"/>
        <v>678406.4827586206</v>
      </c>
      <c r="H380" s="736">
        <f>+J354*G380+E380</f>
        <v>105584.35175169204</v>
      </c>
      <c r="I380" s="742">
        <f>+J355*G380+E380</f>
        <v>105584.35175169204</v>
      </c>
      <c r="J380" s="739">
        <f t="shared" si="34"/>
        <v>0</v>
      </c>
      <c r="K380" s="739"/>
      <c r="L380" s="743"/>
      <c r="M380" s="739">
        <f t="shared" si="35"/>
        <v>0</v>
      </c>
      <c r="N380" s="743"/>
      <c r="O380" s="739">
        <f t="shared" si="36"/>
        <v>0</v>
      </c>
      <c r="P380" s="739">
        <f t="shared" si="37"/>
        <v>0</v>
      </c>
      <c r="Q380" s="680"/>
    </row>
    <row r="381" spans="2:17" ht="12.75">
      <c r="B381" s="330"/>
      <c r="C381" s="735">
        <f>IF(D353="","-",+C380+1)</f>
        <v>2038</v>
      </c>
      <c r="D381" s="679">
        <f t="shared" si="38"/>
        <v>669238.8275862068</v>
      </c>
      <c r="E381" s="741">
        <f t="shared" si="39"/>
        <v>18335.310344827587</v>
      </c>
      <c r="F381" s="741">
        <f t="shared" si="32"/>
        <v>650903.5172413792</v>
      </c>
      <c r="G381" s="679">
        <f t="shared" si="33"/>
        <v>660071.172413793</v>
      </c>
      <c r="H381" s="736">
        <f>+J354*G381+E381</f>
        <v>103226.2695515065</v>
      </c>
      <c r="I381" s="742">
        <f>+J355*G381+E381</f>
        <v>103226.2695515065</v>
      </c>
      <c r="J381" s="739">
        <f t="shared" si="34"/>
        <v>0</v>
      </c>
      <c r="K381" s="739"/>
      <c r="L381" s="743"/>
      <c r="M381" s="739">
        <f t="shared" si="35"/>
        <v>0</v>
      </c>
      <c r="N381" s="743"/>
      <c r="O381" s="739">
        <f t="shared" si="36"/>
        <v>0</v>
      </c>
      <c r="P381" s="739">
        <f t="shared" si="37"/>
        <v>0</v>
      </c>
      <c r="Q381" s="680"/>
    </row>
    <row r="382" spans="2:17" ht="12.75">
      <c r="B382" s="330"/>
      <c r="C382" s="735">
        <f>IF(D353="","-",+C381+1)</f>
        <v>2039</v>
      </c>
      <c r="D382" s="679">
        <f t="shared" si="38"/>
        <v>650903.5172413792</v>
      </c>
      <c r="E382" s="741">
        <f t="shared" si="39"/>
        <v>18335.310344827587</v>
      </c>
      <c r="F382" s="741">
        <f t="shared" si="32"/>
        <v>632568.2068965517</v>
      </c>
      <c r="G382" s="679">
        <f t="shared" si="33"/>
        <v>641735.8620689654</v>
      </c>
      <c r="H382" s="736">
        <f>+J354*G382+E382</f>
        <v>100868.18735132099</v>
      </c>
      <c r="I382" s="742">
        <f>+J355*G382+E382</f>
        <v>100868.18735132099</v>
      </c>
      <c r="J382" s="739">
        <f t="shared" si="34"/>
        <v>0</v>
      </c>
      <c r="K382" s="739"/>
      <c r="L382" s="743"/>
      <c r="M382" s="739">
        <f t="shared" si="35"/>
        <v>0</v>
      </c>
      <c r="N382" s="743"/>
      <c r="O382" s="739">
        <f t="shared" si="36"/>
        <v>0</v>
      </c>
      <c r="P382" s="739">
        <f t="shared" si="37"/>
        <v>0</v>
      </c>
      <c r="Q382" s="680"/>
    </row>
    <row r="383" spans="2:17" ht="12.75">
      <c r="B383" s="330"/>
      <c r="C383" s="735">
        <f>IF(D353="","-",+C382+1)</f>
        <v>2040</v>
      </c>
      <c r="D383" s="679">
        <f t="shared" si="38"/>
        <v>632568.2068965517</v>
      </c>
      <c r="E383" s="741">
        <f t="shared" si="39"/>
        <v>18335.310344827587</v>
      </c>
      <c r="F383" s="741">
        <f t="shared" si="32"/>
        <v>614232.896551724</v>
      </c>
      <c r="G383" s="679">
        <f t="shared" si="33"/>
        <v>623400.5517241379</v>
      </c>
      <c r="H383" s="736">
        <f>+J354*G383+E383</f>
        <v>98510.10515113545</v>
      </c>
      <c r="I383" s="742">
        <f>+J355*G383+E383</f>
        <v>98510.10515113545</v>
      </c>
      <c r="J383" s="739">
        <f t="shared" si="34"/>
        <v>0</v>
      </c>
      <c r="K383" s="739"/>
      <c r="L383" s="743"/>
      <c r="M383" s="739">
        <f t="shared" si="35"/>
        <v>0</v>
      </c>
      <c r="N383" s="743"/>
      <c r="O383" s="739">
        <f t="shared" si="36"/>
        <v>0</v>
      </c>
      <c r="P383" s="739">
        <f t="shared" si="37"/>
        <v>0</v>
      </c>
      <c r="Q383" s="680"/>
    </row>
    <row r="384" spans="2:17" ht="12.75">
      <c r="B384" s="330"/>
      <c r="C384" s="735">
        <f>IF(D353="","-",+C383+1)</f>
        <v>2041</v>
      </c>
      <c r="D384" s="679">
        <f t="shared" si="38"/>
        <v>614232.896551724</v>
      </c>
      <c r="E384" s="741">
        <f t="shared" si="39"/>
        <v>18335.310344827587</v>
      </c>
      <c r="F384" s="741">
        <f t="shared" si="32"/>
        <v>595897.5862068965</v>
      </c>
      <c r="G384" s="679">
        <f t="shared" si="33"/>
        <v>605065.2413793103</v>
      </c>
      <c r="H384" s="736">
        <f>+J354*G384+E384</f>
        <v>96152.02295094993</v>
      </c>
      <c r="I384" s="742">
        <f>+J355*G384+E384</f>
        <v>96152.02295094993</v>
      </c>
      <c r="J384" s="739">
        <f t="shared" si="34"/>
        <v>0</v>
      </c>
      <c r="K384" s="739"/>
      <c r="L384" s="743"/>
      <c r="M384" s="739">
        <f t="shared" si="35"/>
        <v>0</v>
      </c>
      <c r="N384" s="743"/>
      <c r="O384" s="739">
        <f t="shared" si="36"/>
        <v>0</v>
      </c>
      <c r="P384" s="739">
        <f t="shared" si="37"/>
        <v>0</v>
      </c>
      <c r="Q384" s="680"/>
    </row>
    <row r="385" spans="2:17" ht="12.75">
      <c r="B385" s="330"/>
      <c r="C385" s="735">
        <f>IF(D353="","-",+C384+1)</f>
        <v>2042</v>
      </c>
      <c r="D385" s="679">
        <f t="shared" si="38"/>
        <v>595897.5862068965</v>
      </c>
      <c r="E385" s="741">
        <f t="shared" si="39"/>
        <v>18335.310344827587</v>
      </c>
      <c r="F385" s="741">
        <f t="shared" si="32"/>
        <v>577562.2758620689</v>
      </c>
      <c r="G385" s="679">
        <f t="shared" si="33"/>
        <v>586729.9310344827</v>
      </c>
      <c r="H385" s="736">
        <f>+J354*G385+E385</f>
        <v>93793.94075076439</v>
      </c>
      <c r="I385" s="742">
        <f>+J355*G385+E385</f>
        <v>93793.94075076439</v>
      </c>
      <c r="J385" s="739">
        <f t="shared" si="34"/>
        <v>0</v>
      </c>
      <c r="K385" s="739"/>
      <c r="L385" s="743"/>
      <c r="M385" s="739">
        <f t="shared" si="35"/>
        <v>0</v>
      </c>
      <c r="N385" s="743"/>
      <c r="O385" s="739">
        <f t="shared" si="36"/>
        <v>0</v>
      </c>
      <c r="P385" s="739">
        <f t="shared" si="37"/>
        <v>0</v>
      </c>
      <c r="Q385" s="680"/>
    </row>
    <row r="386" spans="2:17" ht="12.75">
      <c r="B386" s="330"/>
      <c r="C386" s="735">
        <f>IF(D353="","-",+C385+1)</f>
        <v>2043</v>
      </c>
      <c r="D386" s="679">
        <f t="shared" si="38"/>
        <v>577562.2758620689</v>
      </c>
      <c r="E386" s="741">
        <f t="shared" si="39"/>
        <v>18335.310344827587</v>
      </c>
      <c r="F386" s="741">
        <f t="shared" si="32"/>
        <v>559226.9655172413</v>
      </c>
      <c r="G386" s="679">
        <f t="shared" si="33"/>
        <v>568394.6206896551</v>
      </c>
      <c r="H386" s="736">
        <f>+J354*G386+E386</f>
        <v>91435.85855057888</v>
      </c>
      <c r="I386" s="742">
        <f>+J355*G386+E386</f>
        <v>91435.85855057888</v>
      </c>
      <c r="J386" s="739">
        <f t="shared" si="34"/>
        <v>0</v>
      </c>
      <c r="K386" s="739"/>
      <c r="L386" s="743"/>
      <c r="M386" s="739">
        <f t="shared" si="35"/>
        <v>0</v>
      </c>
      <c r="N386" s="743"/>
      <c r="O386" s="739">
        <f t="shared" si="36"/>
        <v>0</v>
      </c>
      <c r="P386" s="739">
        <f t="shared" si="37"/>
        <v>0</v>
      </c>
      <c r="Q386" s="680"/>
    </row>
    <row r="387" spans="2:17" ht="12.75">
      <c r="B387" s="330"/>
      <c r="C387" s="735">
        <f>IF(D353="","-",+C386+1)</f>
        <v>2044</v>
      </c>
      <c r="D387" s="679">
        <f t="shared" si="38"/>
        <v>559226.9655172413</v>
      </c>
      <c r="E387" s="741">
        <f t="shared" si="39"/>
        <v>18335.310344827587</v>
      </c>
      <c r="F387" s="741">
        <f t="shared" si="32"/>
        <v>540891.6551724137</v>
      </c>
      <c r="G387" s="679">
        <f t="shared" si="33"/>
        <v>550059.3103448275</v>
      </c>
      <c r="H387" s="736">
        <f>+J354*G387+E387</f>
        <v>89077.77635039334</v>
      </c>
      <c r="I387" s="742">
        <f>+J355*G387+E387</f>
        <v>89077.77635039334</v>
      </c>
      <c r="J387" s="739">
        <f t="shared" si="34"/>
        <v>0</v>
      </c>
      <c r="K387" s="739"/>
      <c r="L387" s="743"/>
      <c r="M387" s="739">
        <f t="shared" si="35"/>
        <v>0</v>
      </c>
      <c r="N387" s="743"/>
      <c r="O387" s="739">
        <f t="shared" si="36"/>
        <v>0</v>
      </c>
      <c r="P387" s="739">
        <f t="shared" si="37"/>
        <v>0</v>
      </c>
      <c r="Q387" s="680"/>
    </row>
    <row r="388" spans="2:17" ht="12.75">
      <c r="B388" s="330"/>
      <c r="C388" s="735">
        <f>IF(D353="","-",+C387+1)</f>
        <v>2045</v>
      </c>
      <c r="D388" s="679">
        <f t="shared" si="38"/>
        <v>540891.6551724137</v>
      </c>
      <c r="E388" s="741">
        <f t="shared" si="39"/>
        <v>18335.310344827587</v>
      </c>
      <c r="F388" s="741">
        <f t="shared" si="32"/>
        <v>522556.3448275861</v>
      </c>
      <c r="G388" s="679">
        <f t="shared" si="33"/>
        <v>531723.9999999999</v>
      </c>
      <c r="H388" s="736">
        <f>+J354*G388+E388</f>
        <v>86719.69415020783</v>
      </c>
      <c r="I388" s="742">
        <f>+J355*G388+E388</f>
        <v>86719.69415020783</v>
      </c>
      <c r="J388" s="739">
        <f t="shared" si="34"/>
        <v>0</v>
      </c>
      <c r="K388" s="739"/>
      <c r="L388" s="743"/>
      <c r="M388" s="739">
        <f t="shared" si="35"/>
        <v>0</v>
      </c>
      <c r="N388" s="743"/>
      <c r="O388" s="739">
        <f t="shared" si="36"/>
        <v>0</v>
      </c>
      <c r="P388" s="739">
        <f t="shared" si="37"/>
        <v>0</v>
      </c>
      <c r="Q388" s="680"/>
    </row>
    <row r="389" spans="2:17" ht="12.75">
      <c r="B389" s="330"/>
      <c r="C389" s="735">
        <f>IF(D353="","-",+C388+1)</f>
        <v>2046</v>
      </c>
      <c r="D389" s="679">
        <f t="shared" si="38"/>
        <v>522556.3448275861</v>
      </c>
      <c r="E389" s="741">
        <f t="shared" si="39"/>
        <v>18335.310344827587</v>
      </c>
      <c r="F389" s="741">
        <f t="shared" si="32"/>
        <v>504221.0344827585</v>
      </c>
      <c r="G389" s="679">
        <f t="shared" si="33"/>
        <v>513388.6896551723</v>
      </c>
      <c r="H389" s="736">
        <f>+J354*G389+E389</f>
        <v>84361.61195002228</v>
      </c>
      <c r="I389" s="742">
        <f>+J355*G389+E389</f>
        <v>84361.61195002228</v>
      </c>
      <c r="J389" s="739">
        <f t="shared" si="34"/>
        <v>0</v>
      </c>
      <c r="K389" s="739"/>
      <c r="L389" s="743"/>
      <c r="M389" s="739">
        <f t="shared" si="35"/>
        <v>0</v>
      </c>
      <c r="N389" s="743"/>
      <c r="O389" s="739">
        <f t="shared" si="36"/>
        <v>0</v>
      </c>
      <c r="P389" s="739">
        <f t="shared" si="37"/>
        <v>0</v>
      </c>
      <c r="Q389" s="680"/>
    </row>
    <row r="390" spans="2:17" ht="12.75">
      <c r="B390" s="330"/>
      <c r="C390" s="735">
        <f>IF(D353="","-",+C389+1)</f>
        <v>2047</v>
      </c>
      <c r="D390" s="679">
        <f t="shared" si="38"/>
        <v>504221.0344827585</v>
      </c>
      <c r="E390" s="741">
        <f t="shared" si="39"/>
        <v>18335.310344827587</v>
      </c>
      <c r="F390" s="741">
        <f t="shared" si="32"/>
        <v>485885.7241379309</v>
      </c>
      <c r="G390" s="679">
        <f t="shared" si="33"/>
        <v>495053.3793103447</v>
      </c>
      <c r="H390" s="736">
        <f>+J354*G390+E390</f>
        <v>82003.52974983677</v>
      </c>
      <c r="I390" s="742">
        <f>+J355*G390+E390</f>
        <v>82003.52974983677</v>
      </c>
      <c r="J390" s="739">
        <f t="shared" si="34"/>
        <v>0</v>
      </c>
      <c r="K390" s="739"/>
      <c r="L390" s="743"/>
      <c r="M390" s="739">
        <f t="shared" si="35"/>
        <v>0</v>
      </c>
      <c r="N390" s="743"/>
      <c r="O390" s="739">
        <f t="shared" si="36"/>
        <v>0</v>
      </c>
      <c r="P390" s="739">
        <f t="shared" si="37"/>
        <v>0</v>
      </c>
      <c r="Q390" s="680"/>
    </row>
    <row r="391" spans="2:17" ht="12.75">
      <c r="B391" s="330"/>
      <c r="C391" s="735">
        <f>IF(D353="","-",+C390+1)</f>
        <v>2048</v>
      </c>
      <c r="D391" s="679">
        <f t="shared" si="38"/>
        <v>485885.7241379309</v>
      </c>
      <c r="E391" s="741">
        <f t="shared" si="39"/>
        <v>18335.310344827587</v>
      </c>
      <c r="F391" s="741">
        <f t="shared" si="32"/>
        <v>467550.4137931033</v>
      </c>
      <c r="G391" s="679">
        <f t="shared" si="33"/>
        <v>476718.0689655171</v>
      </c>
      <c r="H391" s="736">
        <f>+J354*G391+E391</f>
        <v>79645.44754965123</v>
      </c>
      <c r="I391" s="742">
        <f>+J355*G391+E391</f>
        <v>79645.44754965123</v>
      </c>
      <c r="J391" s="739">
        <f t="shared" si="34"/>
        <v>0</v>
      </c>
      <c r="K391" s="739"/>
      <c r="L391" s="743"/>
      <c r="M391" s="739">
        <f t="shared" si="35"/>
        <v>0</v>
      </c>
      <c r="N391" s="743"/>
      <c r="O391" s="739">
        <f t="shared" si="36"/>
        <v>0</v>
      </c>
      <c r="P391" s="739">
        <f t="shared" si="37"/>
        <v>0</v>
      </c>
      <c r="Q391" s="680"/>
    </row>
    <row r="392" spans="2:17" ht="12.75">
      <c r="B392" s="330"/>
      <c r="C392" s="735">
        <f>IF(D353="","-",+C391+1)</f>
        <v>2049</v>
      </c>
      <c r="D392" s="679">
        <f t="shared" si="38"/>
        <v>467550.4137931033</v>
      </c>
      <c r="E392" s="741">
        <f t="shared" si="39"/>
        <v>18335.310344827587</v>
      </c>
      <c r="F392" s="741">
        <f t="shared" si="32"/>
        <v>449215.1034482757</v>
      </c>
      <c r="G392" s="679">
        <f t="shared" si="33"/>
        <v>458382.7586206895</v>
      </c>
      <c r="H392" s="736">
        <f>+J354*G392+E392</f>
        <v>77287.36534946572</v>
      </c>
      <c r="I392" s="742">
        <f>+J355*G392+E392</f>
        <v>77287.36534946572</v>
      </c>
      <c r="J392" s="739">
        <f t="shared" si="34"/>
        <v>0</v>
      </c>
      <c r="K392" s="739"/>
      <c r="L392" s="743"/>
      <c r="M392" s="739">
        <f t="shared" si="35"/>
        <v>0</v>
      </c>
      <c r="N392" s="743"/>
      <c r="O392" s="739">
        <f t="shared" si="36"/>
        <v>0</v>
      </c>
      <c r="P392" s="739">
        <f t="shared" si="37"/>
        <v>0</v>
      </c>
      <c r="Q392" s="680"/>
    </row>
    <row r="393" spans="2:17" ht="12.75">
      <c r="B393" s="330"/>
      <c r="C393" s="735">
        <f>IF(D353="","-",+C392+1)</f>
        <v>2050</v>
      </c>
      <c r="D393" s="679">
        <f t="shared" si="38"/>
        <v>449215.1034482757</v>
      </c>
      <c r="E393" s="741">
        <f t="shared" si="39"/>
        <v>18335.310344827587</v>
      </c>
      <c r="F393" s="741">
        <f t="shared" si="32"/>
        <v>430879.7931034481</v>
      </c>
      <c r="G393" s="679">
        <f t="shared" si="33"/>
        <v>440047.4482758619</v>
      </c>
      <c r="H393" s="736">
        <f>+J354*G393+E393</f>
        <v>74929.28314928018</v>
      </c>
      <c r="I393" s="742">
        <f>+J355*G393+E393</f>
        <v>74929.28314928018</v>
      </c>
      <c r="J393" s="739">
        <f t="shared" si="34"/>
        <v>0</v>
      </c>
      <c r="K393" s="739"/>
      <c r="L393" s="743"/>
      <c r="M393" s="739">
        <f t="shared" si="35"/>
        <v>0</v>
      </c>
      <c r="N393" s="743"/>
      <c r="O393" s="739">
        <f t="shared" si="36"/>
        <v>0</v>
      </c>
      <c r="P393" s="739">
        <f t="shared" si="37"/>
        <v>0</v>
      </c>
      <c r="Q393" s="680"/>
    </row>
    <row r="394" spans="2:17" ht="12.75">
      <c r="B394" s="330"/>
      <c r="C394" s="735">
        <f>IF(D353="","-",+C393+1)</f>
        <v>2051</v>
      </c>
      <c r="D394" s="679">
        <f t="shared" si="38"/>
        <v>430879.7931034481</v>
      </c>
      <c r="E394" s="741">
        <f t="shared" si="39"/>
        <v>18335.310344827587</v>
      </c>
      <c r="F394" s="741">
        <f t="shared" si="32"/>
        <v>412544.4827586205</v>
      </c>
      <c r="G394" s="679">
        <f t="shared" si="33"/>
        <v>421712.1379310343</v>
      </c>
      <c r="H394" s="736">
        <f>+J354*G394+E394</f>
        <v>72571.20094909467</v>
      </c>
      <c r="I394" s="742">
        <f>+J355*G394+E394</f>
        <v>72571.20094909467</v>
      </c>
      <c r="J394" s="739">
        <f t="shared" si="34"/>
        <v>0</v>
      </c>
      <c r="K394" s="739"/>
      <c r="L394" s="743"/>
      <c r="M394" s="739">
        <f t="shared" si="35"/>
        <v>0</v>
      </c>
      <c r="N394" s="743"/>
      <c r="O394" s="739">
        <f t="shared" si="36"/>
        <v>0</v>
      </c>
      <c r="P394" s="739">
        <f t="shared" si="37"/>
        <v>0</v>
      </c>
      <c r="Q394" s="680"/>
    </row>
    <row r="395" spans="2:17" ht="12.75">
      <c r="B395" s="330"/>
      <c r="C395" s="735">
        <f>IF(D353="","-",+C394+1)</f>
        <v>2052</v>
      </c>
      <c r="D395" s="679">
        <f t="shared" si="38"/>
        <v>412544.4827586205</v>
      </c>
      <c r="E395" s="741">
        <f t="shared" si="39"/>
        <v>18335.310344827587</v>
      </c>
      <c r="F395" s="741">
        <f t="shared" si="32"/>
        <v>394209.1724137929</v>
      </c>
      <c r="G395" s="679">
        <f t="shared" si="33"/>
        <v>403376.8275862067</v>
      </c>
      <c r="H395" s="736">
        <f>+J354*G395+E395</f>
        <v>70213.11874890912</v>
      </c>
      <c r="I395" s="742">
        <f>+J355*G395+E395</f>
        <v>70213.11874890912</v>
      </c>
      <c r="J395" s="739">
        <f t="shared" si="34"/>
        <v>0</v>
      </c>
      <c r="K395" s="739"/>
      <c r="L395" s="743"/>
      <c r="M395" s="739">
        <f t="shared" si="35"/>
        <v>0</v>
      </c>
      <c r="N395" s="743"/>
      <c r="O395" s="739">
        <f t="shared" si="36"/>
        <v>0</v>
      </c>
      <c r="P395" s="739">
        <f t="shared" si="37"/>
        <v>0</v>
      </c>
      <c r="Q395" s="680"/>
    </row>
    <row r="396" spans="2:17" ht="12.75">
      <c r="B396" s="330"/>
      <c r="C396" s="735">
        <f>IF(D353="","-",+C395+1)</f>
        <v>2053</v>
      </c>
      <c r="D396" s="679">
        <f t="shared" si="38"/>
        <v>394209.1724137929</v>
      </c>
      <c r="E396" s="741">
        <f t="shared" si="39"/>
        <v>18335.310344827587</v>
      </c>
      <c r="F396" s="741">
        <f t="shared" si="32"/>
        <v>375873.86206896533</v>
      </c>
      <c r="G396" s="679">
        <f t="shared" si="33"/>
        <v>385041.51724137913</v>
      </c>
      <c r="H396" s="736">
        <f>+J354*G396+E396</f>
        <v>67855.03654872361</v>
      </c>
      <c r="I396" s="742">
        <f>+J355*G396+E396</f>
        <v>67855.03654872361</v>
      </c>
      <c r="J396" s="739">
        <f t="shared" si="34"/>
        <v>0</v>
      </c>
      <c r="K396" s="739"/>
      <c r="L396" s="743"/>
      <c r="M396" s="739">
        <f t="shared" si="35"/>
        <v>0</v>
      </c>
      <c r="N396" s="743"/>
      <c r="O396" s="739">
        <f t="shared" si="36"/>
        <v>0</v>
      </c>
      <c r="P396" s="739">
        <f t="shared" si="37"/>
        <v>0</v>
      </c>
      <c r="Q396" s="680"/>
    </row>
    <row r="397" spans="2:17" ht="12.75">
      <c r="B397" s="330"/>
      <c r="C397" s="735">
        <f>IF(D353="","-",+C396+1)</f>
        <v>2054</v>
      </c>
      <c r="D397" s="679">
        <f t="shared" si="38"/>
        <v>375873.86206896533</v>
      </c>
      <c r="E397" s="741">
        <f t="shared" si="39"/>
        <v>18335.310344827587</v>
      </c>
      <c r="F397" s="741">
        <f t="shared" si="32"/>
        <v>357538.55172413774</v>
      </c>
      <c r="G397" s="679">
        <f t="shared" si="33"/>
        <v>366706.20689655154</v>
      </c>
      <c r="H397" s="736">
        <f>+J354*G397+E397</f>
        <v>65496.95434853808</v>
      </c>
      <c r="I397" s="742">
        <f>+J355*G397+E397</f>
        <v>65496.95434853808</v>
      </c>
      <c r="J397" s="739">
        <f t="shared" si="34"/>
        <v>0</v>
      </c>
      <c r="K397" s="739"/>
      <c r="L397" s="743"/>
      <c r="M397" s="739">
        <f t="shared" si="35"/>
        <v>0</v>
      </c>
      <c r="N397" s="743"/>
      <c r="O397" s="739">
        <f t="shared" si="36"/>
        <v>0</v>
      </c>
      <c r="P397" s="739">
        <f t="shared" si="37"/>
        <v>0</v>
      </c>
      <c r="Q397" s="680"/>
    </row>
    <row r="398" spans="2:17" ht="12.75">
      <c r="B398" s="330"/>
      <c r="C398" s="735">
        <f>IF(D353="","-",+C397+1)</f>
        <v>2055</v>
      </c>
      <c r="D398" s="679">
        <f t="shared" si="38"/>
        <v>357538.55172413774</v>
      </c>
      <c r="E398" s="741">
        <f t="shared" si="39"/>
        <v>18335.310344827587</v>
      </c>
      <c r="F398" s="741">
        <f t="shared" si="32"/>
        <v>339203.24137931014</v>
      </c>
      <c r="G398" s="679">
        <f t="shared" si="33"/>
        <v>348370.89655172394</v>
      </c>
      <c r="H398" s="736">
        <f>+J354*G398+E398</f>
        <v>63138.87214835255</v>
      </c>
      <c r="I398" s="742">
        <f>+J355*G398+E398</f>
        <v>63138.87214835255</v>
      </c>
      <c r="J398" s="739">
        <f t="shared" si="34"/>
        <v>0</v>
      </c>
      <c r="K398" s="739"/>
      <c r="L398" s="743"/>
      <c r="M398" s="739">
        <f t="shared" si="35"/>
        <v>0</v>
      </c>
      <c r="N398" s="743"/>
      <c r="O398" s="739">
        <f t="shared" si="36"/>
        <v>0</v>
      </c>
      <c r="P398" s="739">
        <f t="shared" si="37"/>
        <v>0</v>
      </c>
      <c r="Q398" s="680"/>
    </row>
    <row r="399" spans="2:17" ht="12.75">
      <c r="B399" s="330"/>
      <c r="C399" s="735">
        <f>IF(D353="","-",+C398+1)</f>
        <v>2056</v>
      </c>
      <c r="D399" s="679">
        <f t="shared" si="38"/>
        <v>339203.24137931014</v>
      </c>
      <c r="E399" s="741">
        <f t="shared" si="39"/>
        <v>18335.310344827587</v>
      </c>
      <c r="F399" s="741">
        <f t="shared" si="32"/>
        <v>320867.93103448255</v>
      </c>
      <c r="G399" s="679">
        <f t="shared" si="33"/>
        <v>330035.58620689635</v>
      </c>
      <c r="H399" s="736">
        <f>+J354*G399+E399</f>
        <v>60780.789948167025</v>
      </c>
      <c r="I399" s="742">
        <f>+J355*G399+E399</f>
        <v>60780.789948167025</v>
      </c>
      <c r="J399" s="739">
        <f t="shared" si="34"/>
        <v>0</v>
      </c>
      <c r="K399" s="739"/>
      <c r="L399" s="743"/>
      <c r="M399" s="739">
        <f t="shared" si="35"/>
        <v>0</v>
      </c>
      <c r="N399" s="743"/>
      <c r="O399" s="739">
        <f t="shared" si="36"/>
        <v>0</v>
      </c>
      <c r="P399" s="739">
        <f t="shared" si="37"/>
        <v>0</v>
      </c>
      <c r="Q399" s="680"/>
    </row>
    <row r="400" spans="2:17" ht="12.75">
      <c r="B400" s="330"/>
      <c r="C400" s="735">
        <f>IF(D353="","-",+C399+1)</f>
        <v>2057</v>
      </c>
      <c r="D400" s="679">
        <f t="shared" si="38"/>
        <v>320867.93103448255</v>
      </c>
      <c r="E400" s="741">
        <f t="shared" si="39"/>
        <v>18335.310344827587</v>
      </c>
      <c r="F400" s="741">
        <f t="shared" si="32"/>
        <v>302532.62068965496</v>
      </c>
      <c r="G400" s="679">
        <f t="shared" si="33"/>
        <v>311700.27586206875</v>
      </c>
      <c r="H400" s="736">
        <f>+J354*G400+E400</f>
        <v>58422.7077479815</v>
      </c>
      <c r="I400" s="742">
        <f>+J355*G400+E400</f>
        <v>58422.7077479815</v>
      </c>
      <c r="J400" s="739">
        <f t="shared" si="34"/>
        <v>0</v>
      </c>
      <c r="K400" s="739"/>
      <c r="L400" s="743"/>
      <c r="M400" s="739">
        <f t="shared" si="35"/>
        <v>0</v>
      </c>
      <c r="N400" s="743"/>
      <c r="O400" s="739">
        <f t="shared" si="36"/>
        <v>0</v>
      </c>
      <c r="P400" s="739">
        <f t="shared" si="37"/>
        <v>0</v>
      </c>
      <c r="Q400" s="680"/>
    </row>
    <row r="401" spans="2:17" ht="12.75">
      <c r="B401" s="330"/>
      <c r="C401" s="735">
        <f>IF(D353="","-",+C400+1)</f>
        <v>2058</v>
      </c>
      <c r="D401" s="679">
        <f t="shared" si="38"/>
        <v>302532.62068965496</v>
      </c>
      <c r="E401" s="741">
        <f t="shared" si="39"/>
        <v>18335.310344827587</v>
      </c>
      <c r="F401" s="741">
        <f t="shared" si="32"/>
        <v>284197.31034482736</v>
      </c>
      <c r="G401" s="679">
        <f t="shared" si="33"/>
        <v>293364.96551724116</v>
      </c>
      <c r="H401" s="736">
        <f>+J354*G401+E401</f>
        <v>56064.62554779597</v>
      </c>
      <c r="I401" s="742">
        <f>+J355*G401+E401</f>
        <v>56064.62554779597</v>
      </c>
      <c r="J401" s="739">
        <f t="shared" si="34"/>
        <v>0</v>
      </c>
      <c r="K401" s="739"/>
      <c r="L401" s="743"/>
      <c r="M401" s="739">
        <f t="shared" si="35"/>
        <v>0</v>
      </c>
      <c r="N401" s="743"/>
      <c r="O401" s="739">
        <f t="shared" si="36"/>
        <v>0</v>
      </c>
      <c r="P401" s="739">
        <f t="shared" si="37"/>
        <v>0</v>
      </c>
      <c r="Q401" s="680"/>
    </row>
    <row r="402" spans="2:17" ht="12.75">
      <c r="B402" s="330"/>
      <c r="C402" s="735">
        <f>IF(D353="","-",+C401+1)</f>
        <v>2059</v>
      </c>
      <c r="D402" s="679">
        <f t="shared" si="38"/>
        <v>284197.31034482736</v>
      </c>
      <c r="E402" s="741">
        <f t="shared" si="39"/>
        <v>18335.310344827587</v>
      </c>
      <c r="F402" s="741">
        <f t="shared" si="32"/>
        <v>265861.99999999977</v>
      </c>
      <c r="G402" s="679">
        <f t="shared" si="33"/>
        <v>275029.65517241356</v>
      </c>
      <c r="H402" s="736">
        <f>+J354*G402+E402</f>
        <v>53706.543347610444</v>
      </c>
      <c r="I402" s="742">
        <f>+J355*G402+E402</f>
        <v>53706.543347610444</v>
      </c>
      <c r="J402" s="739">
        <f t="shared" si="34"/>
        <v>0</v>
      </c>
      <c r="K402" s="739"/>
      <c r="L402" s="743"/>
      <c r="M402" s="739">
        <f t="shared" si="35"/>
        <v>0</v>
      </c>
      <c r="N402" s="743"/>
      <c r="O402" s="739">
        <f t="shared" si="36"/>
        <v>0</v>
      </c>
      <c r="P402" s="739">
        <f t="shared" si="37"/>
        <v>0</v>
      </c>
      <c r="Q402" s="680"/>
    </row>
    <row r="403" spans="2:17" ht="12.75">
      <c r="B403" s="330"/>
      <c r="C403" s="735">
        <f>IF(D353="","-",+C402+1)</f>
        <v>2060</v>
      </c>
      <c r="D403" s="679">
        <f t="shared" si="38"/>
        <v>265861.99999999977</v>
      </c>
      <c r="E403" s="741">
        <f t="shared" si="39"/>
        <v>18335.310344827587</v>
      </c>
      <c r="F403" s="741">
        <f t="shared" si="32"/>
        <v>247526.68965517217</v>
      </c>
      <c r="G403" s="679">
        <f t="shared" si="33"/>
        <v>256694.34482758597</v>
      </c>
      <c r="H403" s="736">
        <f>+J354*G403+E403</f>
        <v>51348.46114742492</v>
      </c>
      <c r="I403" s="742">
        <f>+J355*G403+E403</f>
        <v>51348.46114742492</v>
      </c>
      <c r="J403" s="739">
        <f t="shared" si="34"/>
        <v>0</v>
      </c>
      <c r="K403" s="739"/>
      <c r="L403" s="743"/>
      <c r="M403" s="739">
        <f t="shared" si="35"/>
        <v>0</v>
      </c>
      <c r="N403" s="743"/>
      <c r="O403" s="739">
        <f t="shared" si="36"/>
        <v>0</v>
      </c>
      <c r="P403" s="739">
        <f t="shared" si="37"/>
        <v>0</v>
      </c>
      <c r="Q403" s="680"/>
    </row>
    <row r="404" spans="2:17" ht="12.75">
      <c r="B404" s="330"/>
      <c r="C404" s="735">
        <f>IF(D353="","-",+C403+1)</f>
        <v>2061</v>
      </c>
      <c r="D404" s="679">
        <f t="shared" si="38"/>
        <v>247526.68965517217</v>
      </c>
      <c r="E404" s="741">
        <f t="shared" si="39"/>
        <v>18335.310344827587</v>
      </c>
      <c r="F404" s="741">
        <f t="shared" si="32"/>
        <v>229191.37931034458</v>
      </c>
      <c r="G404" s="679">
        <f t="shared" si="33"/>
        <v>238359.03448275838</v>
      </c>
      <c r="H404" s="736">
        <f>+J354*G404+E404</f>
        <v>48990.37894723939</v>
      </c>
      <c r="I404" s="742">
        <f>+J355*G404+E404</f>
        <v>48990.37894723939</v>
      </c>
      <c r="J404" s="739">
        <f t="shared" si="34"/>
        <v>0</v>
      </c>
      <c r="K404" s="739"/>
      <c r="L404" s="743"/>
      <c r="M404" s="739">
        <f t="shared" si="35"/>
        <v>0</v>
      </c>
      <c r="N404" s="743"/>
      <c r="O404" s="739">
        <f t="shared" si="36"/>
        <v>0</v>
      </c>
      <c r="P404" s="739">
        <f t="shared" si="37"/>
        <v>0</v>
      </c>
      <c r="Q404" s="680"/>
    </row>
    <row r="405" spans="2:17" ht="12.75">
      <c r="B405" s="330"/>
      <c r="C405" s="735">
        <f>IF(D353="","-",+C404+1)</f>
        <v>2062</v>
      </c>
      <c r="D405" s="679">
        <f t="shared" si="38"/>
        <v>229191.37931034458</v>
      </c>
      <c r="E405" s="741">
        <f t="shared" si="39"/>
        <v>18335.310344827587</v>
      </c>
      <c r="F405" s="741">
        <f t="shared" si="32"/>
        <v>210856.06896551698</v>
      </c>
      <c r="G405" s="679">
        <f t="shared" si="33"/>
        <v>220023.72413793078</v>
      </c>
      <c r="H405" s="736">
        <f>+J354*G405+E405</f>
        <v>46632.296747053864</v>
      </c>
      <c r="I405" s="742">
        <f>+J355*G405+E405</f>
        <v>46632.296747053864</v>
      </c>
      <c r="J405" s="739">
        <f t="shared" si="34"/>
        <v>0</v>
      </c>
      <c r="K405" s="739"/>
      <c r="L405" s="743"/>
      <c r="M405" s="739">
        <f t="shared" si="35"/>
        <v>0</v>
      </c>
      <c r="N405" s="743"/>
      <c r="O405" s="739">
        <f t="shared" si="36"/>
        <v>0</v>
      </c>
      <c r="P405" s="739">
        <f t="shared" si="37"/>
        <v>0</v>
      </c>
      <c r="Q405" s="680"/>
    </row>
    <row r="406" spans="2:17" ht="12.75">
      <c r="B406" s="330"/>
      <c r="C406" s="735">
        <f>IF(D353="","-",+C405+1)</f>
        <v>2063</v>
      </c>
      <c r="D406" s="679">
        <f t="shared" si="38"/>
        <v>210856.06896551698</v>
      </c>
      <c r="E406" s="741">
        <f t="shared" si="39"/>
        <v>18335.310344827587</v>
      </c>
      <c r="F406" s="741">
        <f t="shared" si="32"/>
        <v>192520.7586206894</v>
      </c>
      <c r="G406" s="679">
        <f t="shared" si="33"/>
        <v>201688.4137931032</v>
      </c>
      <c r="H406" s="736">
        <f>+J354*G406+E406</f>
        <v>44274.21454686834</v>
      </c>
      <c r="I406" s="742">
        <f>+J355*G406+E406</f>
        <v>44274.21454686834</v>
      </c>
      <c r="J406" s="739">
        <f t="shared" si="34"/>
        <v>0</v>
      </c>
      <c r="K406" s="739"/>
      <c r="L406" s="743"/>
      <c r="M406" s="739">
        <f t="shared" si="35"/>
        <v>0</v>
      </c>
      <c r="N406" s="743"/>
      <c r="O406" s="739">
        <f t="shared" si="36"/>
        <v>0</v>
      </c>
      <c r="P406" s="739">
        <f t="shared" si="37"/>
        <v>0</v>
      </c>
      <c r="Q406" s="680"/>
    </row>
    <row r="407" spans="2:17" ht="12.75">
      <c r="B407" s="330"/>
      <c r="C407" s="735">
        <f>IF(D353="","-",+C406+1)</f>
        <v>2064</v>
      </c>
      <c r="D407" s="679">
        <f t="shared" si="38"/>
        <v>192520.7586206894</v>
      </c>
      <c r="E407" s="741">
        <f t="shared" si="39"/>
        <v>18335.310344827587</v>
      </c>
      <c r="F407" s="741">
        <f t="shared" si="32"/>
        <v>174185.4482758618</v>
      </c>
      <c r="G407" s="679">
        <f t="shared" si="33"/>
        <v>183353.1034482756</v>
      </c>
      <c r="H407" s="736">
        <f>+J354*G407+E407</f>
        <v>41916.13234668281</v>
      </c>
      <c r="I407" s="742">
        <f>+J355*G407+E407</f>
        <v>41916.13234668281</v>
      </c>
      <c r="J407" s="739">
        <f t="shared" si="34"/>
        <v>0</v>
      </c>
      <c r="K407" s="739"/>
      <c r="L407" s="743"/>
      <c r="M407" s="739">
        <f t="shared" si="35"/>
        <v>0</v>
      </c>
      <c r="N407" s="743"/>
      <c r="O407" s="739">
        <f t="shared" si="36"/>
        <v>0</v>
      </c>
      <c r="P407" s="739">
        <f t="shared" si="37"/>
        <v>0</v>
      </c>
      <c r="Q407" s="680"/>
    </row>
    <row r="408" spans="2:17" ht="12.75">
      <c r="B408" s="330"/>
      <c r="C408" s="735">
        <f>IF(D353="","-",+C407+1)</f>
        <v>2065</v>
      </c>
      <c r="D408" s="679">
        <f t="shared" si="38"/>
        <v>174185.4482758618</v>
      </c>
      <c r="E408" s="741">
        <f t="shared" si="39"/>
        <v>18335.310344827587</v>
      </c>
      <c r="F408" s="741">
        <f t="shared" si="32"/>
        <v>155850.1379310342</v>
      </c>
      <c r="G408" s="679">
        <f t="shared" si="33"/>
        <v>165017.793103448</v>
      </c>
      <c r="H408" s="736">
        <f>+J354*G408+E408</f>
        <v>39558.050146497284</v>
      </c>
      <c r="I408" s="742">
        <f>+J355*G408+E408</f>
        <v>39558.050146497284</v>
      </c>
      <c r="J408" s="739">
        <f t="shared" si="34"/>
        <v>0</v>
      </c>
      <c r="K408" s="739"/>
      <c r="L408" s="743"/>
      <c r="M408" s="739">
        <f t="shared" si="35"/>
        <v>0</v>
      </c>
      <c r="N408" s="743"/>
      <c r="O408" s="739">
        <f t="shared" si="36"/>
        <v>0</v>
      </c>
      <c r="P408" s="739">
        <f t="shared" si="37"/>
        <v>0</v>
      </c>
      <c r="Q408" s="680"/>
    </row>
    <row r="409" spans="2:17" ht="12.75">
      <c r="B409" s="330"/>
      <c r="C409" s="735">
        <f>IF(D353="","-",+C408+1)</f>
        <v>2066</v>
      </c>
      <c r="D409" s="679">
        <f t="shared" si="38"/>
        <v>155850.1379310342</v>
      </c>
      <c r="E409" s="741">
        <f t="shared" si="39"/>
        <v>18335.310344827587</v>
      </c>
      <c r="F409" s="741">
        <f t="shared" si="32"/>
        <v>137514.8275862066</v>
      </c>
      <c r="G409" s="679">
        <f t="shared" si="33"/>
        <v>146682.4827586204</v>
      </c>
      <c r="H409" s="736">
        <f>+J354*G409+E409</f>
        <v>37199.96794631176</v>
      </c>
      <c r="I409" s="742">
        <f>+J355*G409+E409</f>
        <v>37199.96794631176</v>
      </c>
      <c r="J409" s="739">
        <f t="shared" si="34"/>
        <v>0</v>
      </c>
      <c r="K409" s="739"/>
      <c r="L409" s="743"/>
      <c r="M409" s="739">
        <f t="shared" si="35"/>
        <v>0</v>
      </c>
      <c r="N409" s="743"/>
      <c r="O409" s="739">
        <f t="shared" si="36"/>
        <v>0</v>
      </c>
      <c r="P409" s="739">
        <f t="shared" si="37"/>
        <v>0</v>
      </c>
      <c r="Q409" s="680"/>
    </row>
    <row r="410" spans="2:17" ht="12.75">
      <c r="B410" s="330"/>
      <c r="C410" s="735">
        <f>IF(D353="","-",+C409+1)</f>
        <v>2067</v>
      </c>
      <c r="D410" s="679">
        <f t="shared" si="38"/>
        <v>137514.8275862066</v>
      </c>
      <c r="E410" s="741">
        <f t="shared" si="39"/>
        <v>18335.310344827587</v>
      </c>
      <c r="F410" s="741">
        <f t="shared" si="32"/>
        <v>119179.51724137901</v>
      </c>
      <c r="G410" s="679">
        <f t="shared" si="33"/>
        <v>128347.17241379281</v>
      </c>
      <c r="H410" s="736">
        <f>+J354*G410+E410</f>
        <v>34841.88574612623</v>
      </c>
      <c r="I410" s="742">
        <f>+J355*G410+E410</f>
        <v>34841.88574612623</v>
      </c>
      <c r="J410" s="739">
        <f t="shared" si="34"/>
        <v>0</v>
      </c>
      <c r="K410" s="739"/>
      <c r="L410" s="743"/>
      <c r="M410" s="739">
        <f t="shared" si="35"/>
        <v>0</v>
      </c>
      <c r="N410" s="743"/>
      <c r="O410" s="739">
        <f t="shared" si="36"/>
        <v>0</v>
      </c>
      <c r="P410" s="739">
        <f t="shared" si="37"/>
        <v>0</v>
      </c>
      <c r="Q410" s="680"/>
    </row>
    <row r="411" spans="2:17" ht="12.75">
      <c r="B411" s="330"/>
      <c r="C411" s="735">
        <f>IF(D353="","-",+C410+1)</f>
        <v>2068</v>
      </c>
      <c r="D411" s="679">
        <f t="shared" si="38"/>
        <v>119179.51724137901</v>
      </c>
      <c r="E411" s="741">
        <f t="shared" si="39"/>
        <v>18335.310344827587</v>
      </c>
      <c r="F411" s="741">
        <f t="shared" si="32"/>
        <v>100844.20689655142</v>
      </c>
      <c r="G411" s="679">
        <f t="shared" si="33"/>
        <v>110011.86206896522</v>
      </c>
      <c r="H411" s="736">
        <f>+J354*G411+E411</f>
        <v>32483.803545940704</v>
      </c>
      <c r="I411" s="742">
        <f>+J355*G411+E411</f>
        <v>32483.803545940704</v>
      </c>
      <c r="J411" s="739">
        <f t="shared" si="34"/>
        <v>0</v>
      </c>
      <c r="K411" s="739"/>
      <c r="L411" s="743"/>
      <c r="M411" s="739">
        <f t="shared" si="35"/>
        <v>0</v>
      </c>
      <c r="N411" s="743"/>
      <c r="O411" s="739">
        <f t="shared" si="36"/>
        <v>0</v>
      </c>
      <c r="P411" s="739">
        <f t="shared" si="37"/>
        <v>0</v>
      </c>
      <c r="Q411" s="680"/>
    </row>
    <row r="412" spans="2:17" ht="12.75">
      <c r="B412" s="330"/>
      <c r="C412" s="735">
        <f>IF(D353="","-",+C411+1)</f>
        <v>2069</v>
      </c>
      <c r="D412" s="679">
        <f t="shared" si="38"/>
        <v>100844.20689655142</v>
      </c>
      <c r="E412" s="741">
        <f t="shared" si="39"/>
        <v>18335.310344827587</v>
      </c>
      <c r="F412" s="741">
        <f t="shared" si="32"/>
        <v>82508.89655172382</v>
      </c>
      <c r="G412" s="679">
        <f t="shared" si="33"/>
        <v>91676.55172413762</v>
      </c>
      <c r="H412" s="736">
        <f>+J354*G412+E412</f>
        <v>30125.721345755177</v>
      </c>
      <c r="I412" s="742">
        <f>+J355*G412+E412</f>
        <v>30125.721345755177</v>
      </c>
      <c r="J412" s="739">
        <f t="shared" si="34"/>
        <v>0</v>
      </c>
      <c r="K412" s="739"/>
      <c r="L412" s="743"/>
      <c r="M412" s="739">
        <f t="shared" si="35"/>
        <v>0</v>
      </c>
      <c r="N412" s="743"/>
      <c r="O412" s="739">
        <f t="shared" si="36"/>
        <v>0</v>
      </c>
      <c r="P412" s="739">
        <f t="shared" si="37"/>
        <v>0</v>
      </c>
      <c r="Q412" s="680"/>
    </row>
    <row r="413" spans="2:17" ht="12.75">
      <c r="B413" s="330"/>
      <c r="C413" s="735">
        <f>IF(D353="","-",+C412+1)</f>
        <v>2070</v>
      </c>
      <c r="D413" s="679">
        <f t="shared" si="38"/>
        <v>82508.89655172382</v>
      </c>
      <c r="E413" s="741">
        <f t="shared" si="39"/>
        <v>18335.310344827587</v>
      </c>
      <c r="F413" s="741">
        <f t="shared" si="32"/>
        <v>64173.58620689624</v>
      </c>
      <c r="G413" s="679">
        <f t="shared" si="33"/>
        <v>73341.24137931003</v>
      </c>
      <c r="H413" s="736">
        <f>+J354*G413+E413</f>
        <v>27767.63914556965</v>
      </c>
      <c r="I413" s="742">
        <f>+J355*G413+E413</f>
        <v>27767.63914556965</v>
      </c>
      <c r="J413" s="739">
        <f t="shared" si="34"/>
        <v>0</v>
      </c>
      <c r="K413" s="739"/>
      <c r="L413" s="743"/>
      <c r="M413" s="739">
        <f t="shared" si="35"/>
        <v>0</v>
      </c>
      <c r="N413" s="743"/>
      <c r="O413" s="739">
        <f t="shared" si="36"/>
        <v>0</v>
      </c>
      <c r="P413" s="739">
        <f t="shared" si="37"/>
        <v>0</v>
      </c>
      <c r="Q413" s="680"/>
    </row>
    <row r="414" spans="2:17" ht="12.75">
      <c r="B414" s="330"/>
      <c r="C414" s="735">
        <f>IF(D353="","-",+C413+1)</f>
        <v>2071</v>
      </c>
      <c r="D414" s="679">
        <f t="shared" si="38"/>
        <v>64173.58620689624</v>
      </c>
      <c r="E414" s="741">
        <f t="shared" si="39"/>
        <v>18335.310344827587</v>
      </c>
      <c r="F414" s="741">
        <f t="shared" si="32"/>
        <v>45838.27586206865</v>
      </c>
      <c r="G414" s="679">
        <f t="shared" si="33"/>
        <v>55005.93103448245</v>
      </c>
      <c r="H414" s="736">
        <f>+J354*G414+E414</f>
        <v>25409.556945384124</v>
      </c>
      <c r="I414" s="742">
        <f>+J355*G414+E414</f>
        <v>25409.556945384124</v>
      </c>
      <c r="J414" s="739">
        <f t="shared" si="34"/>
        <v>0</v>
      </c>
      <c r="K414" s="739"/>
      <c r="L414" s="743"/>
      <c r="M414" s="739">
        <f t="shared" si="35"/>
        <v>0</v>
      </c>
      <c r="N414" s="743"/>
      <c r="O414" s="739">
        <f t="shared" si="36"/>
        <v>0</v>
      </c>
      <c r="P414" s="739">
        <f t="shared" si="37"/>
        <v>0</v>
      </c>
      <c r="Q414" s="680"/>
    </row>
    <row r="415" spans="2:17" ht="12.75">
      <c r="B415" s="330"/>
      <c r="C415" s="735">
        <f>IF(D353="","-",+C414+1)</f>
        <v>2072</v>
      </c>
      <c r="D415" s="679">
        <f t="shared" si="38"/>
        <v>45838.27586206865</v>
      </c>
      <c r="E415" s="741">
        <f t="shared" si="39"/>
        <v>18335.310344827587</v>
      </c>
      <c r="F415" s="741">
        <f t="shared" si="32"/>
        <v>27502.965517241064</v>
      </c>
      <c r="G415" s="679">
        <f t="shared" si="33"/>
        <v>36670.620689654854</v>
      </c>
      <c r="H415" s="736">
        <f>+J354*G415+E415</f>
        <v>23051.474745198597</v>
      </c>
      <c r="I415" s="742">
        <f>+J355*G415+E415</f>
        <v>23051.474745198597</v>
      </c>
      <c r="J415" s="739">
        <f t="shared" si="34"/>
        <v>0</v>
      </c>
      <c r="K415" s="739"/>
      <c r="L415" s="743"/>
      <c r="M415" s="739">
        <f t="shared" si="35"/>
        <v>0</v>
      </c>
      <c r="N415" s="743"/>
      <c r="O415" s="739">
        <f t="shared" si="36"/>
        <v>0</v>
      </c>
      <c r="P415" s="739">
        <f t="shared" si="37"/>
        <v>0</v>
      </c>
      <c r="Q415" s="680"/>
    </row>
    <row r="416" spans="2:17" ht="12.75">
      <c r="B416" s="330"/>
      <c r="C416" s="735">
        <f>IF(D353="","-",+C415+1)</f>
        <v>2073</v>
      </c>
      <c r="D416" s="679">
        <f t="shared" si="38"/>
        <v>27502.965517241064</v>
      </c>
      <c r="E416" s="741">
        <f t="shared" si="39"/>
        <v>18335.310344827587</v>
      </c>
      <c r="F416" s="741">
        <f t="shared" si="32"/>
        <v>9167.655172413477</v>
      </c>
      <c r="G416" s="679">
        <f t="shared" si="33"/>
        <v>18335.31034482727</v>
      </c>
      <c r="H416" s="736">
        <f>+J354*G416+E416</f>
        <v>20693.392545013074</v>
      </c>
      <c r="I416" s="742">
        <f>+J355*G416+E416</f>
        <v>20693.392545013074</v>
      </c>
      <c r="J416" s="739">
        <f t="shared" si="34"/>
        <v>0</v>
      </c>
      <c r="K416" s="739"/>
      <c r="L416" s="743"/>
      <c r="M416" s="739">
        <f t="shared" si="35"/>
        <v>0</v>
      </c>
      <c r="N416" s="743"/>
      <c r="O416" s="739">
        <f t="shared" si="36"/>
        <v>0</v>
      </c>
      <c r="P416" s="739">
        <f t="shared" si="37"/>
        <v>0</v>
      </c>
      <c r="Q416" s="680"/>
    </row>
    <row r="417" spans="2:17" ht="12.75">
      <c r="B417" s="330"/>
      <c r="C417" s="735">
        <f>IF(D353="","-",+C416+1)</f>
        <v>2074</v>
      </c>
      <c r="D417" s="679">
        <f t="shared" si="38"/>
        <v>9167.655172413477</v>
      </c>
      <c r="E417" s="741">
        <f t="shared" si="39"/>
        <v>9167.655172413477</v>
      </c>
      <c r="F417" s="741">
        <f t="shared" si="32"/>
        <v>0</v>
      </c>
      <c r="G417" s="679">
        <f t="shared" si="33"/>
        <v>4583.8275862067385</v>
      </c>
      <c r="H417" s="736">
        <f>+J354*G417+E417</f>
        <v>9757.175722459839</v>
      </c>
      <c r="I417" s="742">
        <f>+J355*G417+E417</f>
        <v>9757.175722459839</v>
      </c>
      <c r="J417" s="739">
        <f t="shared" si="34"/>
        <v>0</v>
      </c>
      <c r="K417" s="739"/>
      <c r="L417" s="743"/>
      <c r="M417" s="739">
        <f t="shared" si="35"/>
        <v>0</v>
      </c>
      <c r="N417" s="743"/>
      <c r="O417" s="739">
        <f t="shared" si="36"/>
        <v>0</v>
      </c>
      <c r="P417" s="739">
        <f t="shared" si="37"/>
        <v>0</v>
      </c>
      <c r="Q417" s="680"/>
    </row>
    <row r="418" spans="2:17" ht="13.5" thickBot="1">
      <c r="B418" s="330"/>
      <c r="C418" s="746">
        <f>IF(D353="","-",+C417+1)</f>
        <v>2075</v>
      </c>
      <c r="D418" s="747">
        <f t="shared" si="38"/>
        <v>0</v>
      </c>
      <c r="E418" s="741">
        <f t="shared" si="39"/>
        <v>0</v>
      </c>
      <c r="F418" s="748">
        <f t="shared" si="32"/>
        <v>0</v>
      </c>
      <c r="G418" s="747">
        <f t="shared" si="33"/>
        <v>0</v>
      </c>
      <c r="H418" s="749">
        <f>+J354*G418+E418</f>
        <v>0</v>
      </c>
      <c r="I418" s="749">
        <f>+J355*G418+E418</f>
        <v>0</v>
      </c>
      <c r="J418" s="750">
        <f t="shared" si="34"/>
        <v>0</v>
      </c>
      <c r="K418" s="739"/>
      <c r="L418" s="751"/>
      <c r="M418" s="750">
        <f t="shared" si="35"/>
        <v>0</v>
      </c>
      <c r="N418" s="751"/>
      <c r="O418" s="750">
        <f t="shared" si="36"/>
        <v>0</v>
      </c>
      <c r="P418" s="750">
        <f t="shared" si="37"/>
        <v>0</v>
      </c>
      <c r="Q418" s="680"/>
    </row>
    <row r="419" spans="2:17" ht="12.75">
      <c r="B419" s="330"/>
      <c r="C419" s="679" t="s">
        <v>290</v>
      </c>
      <c r="D419" s="675"/>
      <c r="E419" s="675">
        <f>SUM(E359:E418)</f>
        <v>1063448</v>
      </c>
      <c r="F419" s="675"/>
      <c r="G419" s="675"/>
      <c r="H419" s="675">
        <f>SUM(H359:H418)</f>
        <v>5098126.644517434</v>
      </c>
      <c r="I419" s="675">
        <f>SUM(I359:I418)</f>
        <v>5098126.644517434</v>
      </c>
      <c r="J419" s="675">
        <f>SUM(J359:J418)</f>
        <v>0</v>
      </c>
      <c r="K419" s="675"/>
      <c r="L419" s="675"/>
      <c r="M419" s="675"/>
      <c r="N419" s="675"/>
      <c r="O419" s="675"/>
      <c r="Q419" s="675"/>
    </row>
    <row r="420" spans="2:17" ht="12.75">
      <c r="B420" s="330"/>
      <c r="D420" s="569"/>
      <c r="E420" s="546"/>
      <c r="F420" s="546"/>
      <c r="G420" s="546"/>
      <c r="H420" s="546"/>
      <c r="I420" s="652"/>
      <c r="J420" s="652"/>
      <c r="K420" s="675"/>
      <c r="L420" s="652"/>
      <c r="M420" s="652"/>
      <c r="N420" s="652"/>
      <c r="O420" s="652"/>
      <c r="Q420" s="675"/>
    </row>
    <row r="421" spans="2:17" ht="12.75">
      <c r="B421" s="330"/>
      <c r="C421" s="546" t="s">
        <v>605</v>
      </c>
      <c r="D421" s="569"/>
      <c r="E421" s="546"/>
      <c r="F421" s="546"/>
      <c r="G421" s="546"/>
      <c r="H421" s="546"/>
      <c r="I421" s="652"/>
      <c r="J421" s="652"/>
      <c r="K421" s="675"/>
      <c r="L421" s="652"/>
      <c r="M421" s="652"/>
      <c r="N421" s="652"/>
      <c r="O421" s="652"/>
      <c r="Q421" s="675"/>
    </row>
    <row r="422" spans="2:17" ht="12.75">
      <c r="B422" s="330"/>
      <c r="D422" s="569"/>
      <c r="E422" s="546"/>
      <c r="F422" s="546"/>
      <c r="G422" s="546"/>
      <c r="H422" s="546"/>
      <c r="I422" s="652"/>
      <c r="J422" s="652"/>
      <c r="K422" s="675"/>
      <c r="L422" s="652"/>
      <c r="M422" s="652"/>
      <c r="N422" s="652"/>
      <c r="O422" s="652"/>
      <c r="Q422" s="675"/>
    </row>
    <row r="423" spans="2:17" ht="12.75">
      <c r="B423" s="330"/>
      <c r="C423" s="582" t="s">
        <v>606</v>
      </c>
      <c r="D423" s="679"/>
      <c r="E423" s="679"/>
      <c r="F423" s="679"/>
      <c r="G423" s="679"/>
      <c r="H423" s="675"/>
      <c r="I423" s="675"/>
      <c r="J423" s="680"/>
      <c r="K423" s="680"/>
      <c r="L423" s="680"/>
      <c r="M423" s="680"/>
      <c r="N423" s="680"/>
      <c r="O423" s="680"/>
      <c r="Q423" s="680"/>
    </row>
    <row r="424" spans="2:17" ht="12.75">
      <c r="B424" s="330"/>
      <c r="C424" s="582" t="s">
        <v>478</v>
      </c>
      <c r="D424" s="679"/>
      <c r="E424" s="679"/>
      <c r="F424" s="679"/>
      <c r="G424" s="679"/>
      <c r="H424" s="675"/>
      <c r="I424" s="675"/>
      <c r="J424" s="680"/>
      <c r="K424" s="680"/>
      <c r="L424" s="680"/>
      <c r="M424" s="680"/>
      <c r="N424" s="680"/>
      <c r="O424" s="680"/>
      <c r="Q424" s="680"/>
    </row>
    <row r="425" spans="2:17" ht="12.75">
      <c r="B425" s="330"/>
      <c r="C425" s="582" t="s">
        <v>291</v>
      </c>
      <c r="D425" s="679"/>
      <c r="E425" s="679"/>
      <c r="F425" s="679"/>
      <c r="G425" s="679"/>
      <c r="H425" s="675"/>
      <c r="I425" s="675"/>
      <c r="J425" s="680"/>
      <c r="K425" s="680"/>
      <c r="L425" s="680"/>
      <c r="M425" s="680"/>
      <c r="N425" s="680"/>
      <c r="O425" s="680"/>
      <c r="Q425" s="680"/>
    </row>
    <row r="426" spans="1:17" ht="20.25">
      <c r="A426" s="681" t="s">
        <v>762</v>
      </c>
      <c r="B426" s="546"/>
      <c r="C426" s="661"/>
      <c r="D426" s="569"/>
      <c r="E426" s="546"/>
      <c r="F426" s="651"/>
      <c r="G426" s="651"/>
      <c r="H426" s="546"/>
      <c r="I426" s="652"/>
      <c r="L426" s="682"/>
      <c r="M426" s="682"/>
      <c r="N426" s="682"/>
      <c r="O426" s="597" t="str">
        <f>"Page "&amp;SUM(Q$1:Q426)&amp;" of "</f>
        <v>Page 6 of </v>
      </c>
      <c r="P426" s="598">
        <f>COUNT(Q$6:Q$57776)</f>
        <v>10</v>
      </c>
      <c r="Q426" s="772">
        <v>1</v>
      </c>
    </row>
    <row r="427" spans="2:17" ht="12.75">
      <c r="B427" s="546"/>
      <c r="C427" s="546"/>
      <c r="D427" s="569"/>
      <c r="E427" s="546"/>
      <c r="F427" s="546"/>
      <c r="G427" s="546"/>
      <c r="H427" s="546"/>
      <c r="I427" s="652"/>
      <c r="J427" s="546"/>
      <c r="K427" s="594"/>
      <c r="Q427" s="594"/>
    </row>
    <row r="428" spans="2:17" ht="18">
      <c r="B428" s="601" t="s">
        <v>176</v>
      </c>
      <c r="C428" s="683" t="s">
        <v>292</v>
      </c>
      <c r="D428" s="569"/>
      <c r="E428" s="546"/>
      <c r="F428" s="546"/>
      <c r="G428" s="546"/>
      <c r="H428" s="546"/>
      <c r="I428" s="652"/>
      <c r="J428" s="652"/>
      <c r="K428" s="675"/>
      <c r="L428" s="652"/>
      <c r="M428" s="652"/>
      <c r="N428" s="652"/>
      <c r="O428" s="652"/>
      <c r="Q428" s="675"/>
    </row>
    <row r="429" spans="2:17" ht="18.75">
      <c r="B429" s="601"/>
      <c r="C429" s="600"/>
      <c r="D429" s="569"/>
      <c r="E429" s="546"/>
      <c r="F429" s="546"/>
      <c r="G429" s="546"/>
      <c r="H429" s="546"/>
      <c r="I429" s="652"/>
      <c r="J429" s="652"/>
      <c r="K429" s="675"/>
      <c r="L429" s="652"/>
      <c r="M429" s="652"/>
      <c r="N429" s="652"/>
      <c r="O429" s="652"/>
      <c r="Q429" s="675"/>
    </row>
    <row r="430" spans="2:17" ht="18.75">
      <c r="B430" s="601"/>
      <c r="C430" s="600" t="s">
        <v>293</v>
      </c>
      <c r="D430" s="569"/>
      <c r="E430" s="546"/>
      <c r="F430" s="546"/>
      <c r="G430" s="546"/>
      <c r="H430" s="546"/>
      <c r="I430" s="652"/>
      <c r="J430" s="652"/>
      <c r="K430" s="675"/>
      <c r="L430" s="652"/>
      <c r="M430" s="652"/>
      <c r="N430" s="652"/>
      <c r="O430" s="652"/>
      <c r="Q430" s="675"/>
    </row>
    <row r="431" spans="2:17" ht="15.75" thickBot="1">
      <c r="B431" s="330"/>
      <c r="C431" s="396"/>
      <c r="D431" s="569"/>
      <c r="E431" s="546"/>
      <c r="F431" s="546"/>
      <c r="G431" s="546"/>
      <c r="H431" s="546"/>
      <c r="I431" s="652"/>
      <c r="J431" s="652"/>
      <c r="K431" s="675"/>
      <c r="L431" s="652"/>
      <c r="M431" s="652"/>
      <c r="N431" s="652"/>
      <c r="O431" s="652"/>
      <c r="Q431" s="675"/>
    </row>
    <row r="432" spans="2:17" ht="15.75">
      <c r="B432" s="330"/>
      <c r="C432" s="602" t="s">
        <v>294</v>
      </c>
      <c r="D432" s="569"/>
      <c r="E432" s="546"/>
      <c r="F432" s="546"/>
      <c r="G432" s="546"/>
      <c r="H432" s="851"/>
      <c r="I432" s="546" t="s">
        <v>273</v>
      </c>
      <c r="J432" s="546"/>
      <c r="K432" s="594"/>
      <c r="L432" s="773">
        <f>+J438</f>
        <v>2017</v>
      </c>
      <c r="M432" s="755" t="s">
        <v>256</v>
      </c>
      <c r="N432" s="755" t="s">
        <v>257</v>
      </c>
      <c r="O432" s="756" t="s">
        <v>258</v>
      </c>
      <c r="Q432" s="594"/>
    </row>
    <row r="433" spans="2:17" ht="15.75">
      <c r="B433" s="330"/>
      <c r="C433" s="602"/>
      <c r="D433" s="569"/>
      <c r="E433" s="546"/>
      <c r="F433" s="546"/>
      <c r="H433" s="546"/>
      <c r="I433" s="688"/>
      <c r="J433" s="688"/>
      <c r="K433" s="689"/>
      <c r="L433" s="774" t="s">
        <v>457</v>
      </c>
      <c r="M433" s="775">
        <f>VLOOKUP(J438,C445:P504,10)</f>
        <v>119121</v>
      </c>
      <c r="N433" s="775">
        <f>VLOOKUP(J438,C445:P504,12)</f>
        <v>119121</v>
      </c>
      <c r="O433" s="776">
        <f>+N433-M433</f>
        <v>0</v>
      </c>
      <c r="Q433" s="689"/>
    </row>
    <row r="434" spans="2:17" ht="12.75">
      <c r="B434" s="330"/>
      <c r="C434" s="693" t="s">
        <v>295</v>
      </c>
      <c r="D434" s="1524" t="s">
        <v>973</v>
      </c>
      <c r="E434" s="1525"/>
      <c r="F434" s="1525"/>
      <c r="G434" s="1525"/>
      <c r="H434" s="1525"/>
      <c r="I434" s="1525"/>
      <c r="J434" s="652"/>
      <c r="K434" s="675"/>
      <c r="L434" s="774" t="s">
        <v>458</v>
      </c>
      <c r="M434" s="777">
        <f>VLOOKUP(J438,C445:P504,6)</f>
        <v>112962.15697220675</v>
      </c>
      <c r="N434" s="777">
        <f>VLOOKUP(J438,C445:P504,7)</f>
        <v>112962.15697220675</v>
      </c>
      <c r="O434" s="778">
        <f>+N434-M434</f>
        <v>0</v>
      </c>
      <c r="Q434" s="675"/>
    </row>
    <row r="435" spans="2:17" ht="13.5" thickBot="1">
      <c r="B435" s="330"/>
      <c r="C435" s="697"/>
      <c r="D435" s="1525"/>
      <c r="E435" s="1525"/>
      <c r="F435" s="1525"/>
      <c r="G435" s="1525"/>
      <c r="H435" s="1525"/>
      <c r="I435" s="1525"/>
      <c r="J435" s="652"/>
      <c r="K435" s="675"/>
      <c r="L435" s="718" t="s">
        <v>459</v>
      </c>
      <c r="M435" s="779">
        <f>+M434-M433</f>
        <v>-6158.843027793249</v>
      </c>
      <c r="N435" s="779">
        <f>+N434-N433</f>
        <v>-6158.843027793249</v>
      </c>
      <c r="O435" s="780">
        <f>+O434-O433</f>
        <v>0</v>
      </c>
      <c r="Q435" s="675"/>
    </row>
    <row r="436" spans="2:17" ht="13.5" thickBot="1">
      <c r="B436" s="330"/>
      <c r="C436" s="700"/>
      <c r="D436" s="701"/>
      <c r="E436" s="699"/>
      <c r="F436" s="699"/>
      <c r="G436" s="699"/>
      <c r="H436" s="699"/>
      <c r="I436" s="699"/>
      <c r="J436" s="699"/>
      <c r="K436" s="702"/>
      <c r="L436" s="699"/>
      <c r="M436" s="699"/>
      <c r="N436" s="699"/>
      <c r="O436" s="699"/>
      <c r="P436" s="582"/>
      <c r="Q436" s="702"/>
    </row>
    <row r="437" spans="2:17" ht="13.5" thickBot="1">
      <c r="B437" s="330"/>
      <c r="C437" s="704" t="s">
        <v>296</v>
      </c>
      <c r="D437" s="705"/>
      <c r="E437" s="705"/>
      <c r="F437" s="705"/>
      <c r="G437" s="705"/>
      <c r="H437" s="705"/>
      <c r="I437" s="705"/>
      <c r="J437" s="705"/>
      <c r="K437" s="707"/>
      <c r="P437" s="708"/>
      <c r="Q437" s="707"/>
    </row>
    <row r="438" spans="1:17" ht="15">
      <c r="A438" s="703"/>
      <c r="B438" s="330"/>
      <c r="C438" s="710" t="s">
        <v>274</v>
      </c>
      <c r="D438" s="1281">
        <v>818037</v>
      </c>
      <c r="E438" s="661" t="s">
        <v>275</v>
      </c>
      <c r="H438" s="711"/>
      <c r="I438" s="711"/>
      <c r="J438" s="712">
        <v>2017</v>
      </c>
      <c r="K438" s="592"/>
      <c r="L438" s="1515" t="s">
        <v>276</v>
      </c>
      <c r="M438" s="1515"/>
      <c r="N438" s="1515"/>
      <c r="O438" s="1515"/>
      <c r="P438" s="594"/>
      <c r="Q438" s="592"/>
    </row>
    <row r="439" spans="1:17" ht="12.75">
      <c r="A439" s="703"/>
      <c r="B439" s="330"/>
      <c r="C439" s="710" t="s">
        <v>277</v>
      </c>
      <c r="D439" s="1283">
        <v>2013</v>
      </c>
      <c r="E439" s="710" t="s">
        <v>278</v>
      </c>
      <c r="F439" s="711"/>
      <c r="G439" s="711"/>
      <c r="I439" s="330"/>
      <c r="J439" s="856">
        <v>0</v>
      </c>
      <c r="K439" s="713"/>
      <c r="L439" s="675" t="s">
        <v>477</v>
      </c>
      <c r="P439" s="594"/>
      <c r="Q439" s="713"/>
    </row>
    <row r="440" spans="1:17" ht="12.75">
      <c r="A440" s="703"/>
      <c r="B440" s="330"/>
      <c r="C440" s="710" t="s">
        <v>279</v>
      </c>
      <c r="D440" s="1282">
        <v>12</v>
      </c>
      <c r="E440" s="710" t="s">
        <v>280</v>
      </c>
      <c r="F440" s="711"/>
      <c r="G440" s="711"/>
      <c r="I440" s="330"/>
      <c r="J440" s="714">
        <f>$F$68</f>
        <v>0.12860879667906705</v>
      </c>
      <c r="K440" s="715"/>
      <c r="L440" s="546" t="str">
        <f>"          INPUT TRUE-UP ARR (WITH &amp; WITHOUT INCENTIVES) FROM EACH PRIOR YEAR"</f>
        <v>          INPUT TRUE-UP ARR (WITH &amp; WITHOUT INCENTIVES) FROM EACH PRIOR YEAR</v>
      </c>
      <c r="P440" s="594"/>
      <c r="Q440" s="715"/>
    </row>
    <row r="441" spans="1:17" ht="12.75">
      <c r="A441" s="703"/>
      <c r="B441" s="330"/>
      <c r="C441" s="710" t="s">
        <v>281</v>
      </c>
      <c r="D441" s="716">
        <f>$H$77</f>
        <v>58</v>
      </c>
      <c r="E441" s="710" t="s">
        <v>282</v>
      </c>
      <c r="F441" s="711"/>
      <c r="G441" s="711"/>
      <c r="I441" s="330"/>
      <c r="J441" s="714">
        <f>IF(H432="",J440,$F$67)</f>
        <v>0.12860879667906705</v>
      </c>
      <c r="K441" s="717"/>
      <c r="L441" s="546" t="s">
        <v>364</v>
      </c>
      <c r="M441" s="717"/>
      <c r="N441" s="717"/>
      <c r="O441" s="717"/>
      <c r="P441" s="594"/>
      <c r="Q441" s="717"/>
    </row>
    <row r="442" spans="1:17" ht="13.5" thickBot="1">
      <c r="A442" s="703"/>
      <c r="B442" s="330"/>
      <c r="C442" s="710" t="s">
        <v>283</v>
      </c>
      <c r="D442" s="855" t="s">
        <v>879</v>
      </c>
      <c r="E442" s="718" t="s">
        <v>284</v>
      </c>
      <c r="F442" s="719"/>
      <c r="G442" s="719"/>
      <c r="H442" s="720"/>
      <c r="I442" s="720"/>
      <c r="J442" s="696">
        <f>IF(D438=0,0,D438/D441)</f>
        <v>14104.086206896553</v>
      </c>
      <c r="K442" s="675"/>
      <c r="L442" s="675" t="s">
        <v>365</v>
      </c>
      <c r="M442" s="675"/>
      <c r="N442" s="675"/>
      <c r="O442" s="675"/>
      <c r="P442" s="594"/>
      <c r="Q442" s="675"/>
    </row>
    <row r="443" spans="1:17" ht="38.25">
      <c r="A443" s="531"/>
      <c r="B443" s="531"/>
      <c r="C443" s="721" t="s">
        <v>274</v>
      </c>
      <c r="D443" s="722" t="s">
        <v>285</v>
      </c>
      <c r="E443" s="723" t="s">
        <v>286</v>
      </c>
      <c r="F443" s="722" t="s">
        <v>287</v>
      </c>
      <c r="G443" s="722" t="s">
        <v>460</v>
      </c>
      <c r="H443" s="723" t="s">
        <v>358</v>
      </c>
      <c r="I443" s="724" t="s">
        <v>358</v>
      </c>
      <c r="J443" s="721" t="s">
        <v>297</v>
      </c>
      <c r="K443" s="725"/>
      <c r="L443" s="723" t="s">
        <v>360</v>
      </c>
      <c r="M443" s="723" t="s">
        <v>366</v>
      </c>
      <c r="N443" s="723" t="s">
        <v>360</v>
      </c>
      <c r="O443" s="723" t="s">
        <v>368</v>
      </c>
      <c r="P443" s="723" t="s">
        <v>288</v>
      </c>
      <c r="Q443" s="727"/>
    </row>
    <row r="444" spans="2:17" ht="13.5" thickBot="1">
      <c r="B444" s="330"/>
      <c r="C444" s="728" t="s">
        <v>179</v>
      </c>
      <c r="D444" s="729" t="s">
        <v>180</v>
      </c>
      <c r="E444" s="728" t="s">
        <v>38</v>
      </c>
      <c r="F444" s="729" t="s">
        <v>180</v>
      </c>
      <c r="G444" s="729" t="s">
        <v>180</v>
      </c>
      <c r="H444" s="730" t="s">
        <v>300</v>
      </c>
      <c r="I444" s="731" t="s">
        <v>302</v>
      </c>
      <c r="J444" s="732" t="s">
        <v>391</v>
      </c>
      <c r="K444" s="733"/>
      <c r="L444" s="730" t="s">
        <v>289</v>
      </c>
      <c r="M444" s="730" t="s">
        <v>289</v>
      </c>
      <c r="N444" s="730" t="s">
        <v>469</v>
      </c>
      <c r="O444" s="730" t="s">
        <v>469</v>
      </c>
      <c r="P444" s="730" t="s">
        <v>469</v>
      </c>
      <c r="Q444" s="592"/>
    </row>
    <row r="445" spans="2:17" ht="12.75">
      <c r="B445" s="330"/>
      <c r="C445" s="735">
        <f>IF(D439="","-",D439)</f>
        <v>2013</v>
      </c>
      <c r="D445" s="679">
        <f>+D438</f>
        <v>818037</v>
      </c>
      <c r="E445" s="736">
        <f>+J442/12*(12-D440)</f>
        <v>0</v>
      </c>
      <c r="F445" s="781">
        <f aca="true" t="shared" si="40" ref="F445:F504">+D445-E445</f>
        <v>818037</v>
      </c>
      <c r="G445" s="679">
        <f aca="true" t="shared" si="41" ref="G445:G504">+(D445+F445)/2</f>
        <v>818037</v>
      </c>
      <c r="H445" s="737">
        <f>+J440*G445+E445</f>
        <v>105206.75420895398</v>
      </c>
      <c r="I445" s="738">
        <f>+J441*G445+E445</f>
        <v>105206.75420895398</v>
      </c>
      <c r="J445" s="739">
        <f aca="true" t="shared" si="42" ref="J445:J504">+I445-H445</f>
        <v>0</v>
      </c>
      <c r="K445" s="739"/>
      <c r="L445" s="1255">
        <v>0</v>
      </c>
      <c r="M445" s="782">
        <f aca="true" t="shared" si="43" ref="M445:M504">IF(L445&lt;&gt;0,+H445-L445,0)</f>
        <v>0</v>
      </c>
      <c r="N445" s="1255">
        <v>0</v>
      </c>
      <c r="O445" s="782">
        <f aca="true" t="shared" si="44" ref="O445:O504">IF(N445&lt;&gt;0,+I445-N445,0)</f>
        <v>0</v>
      </c>
      <c r="P445" s="782">
        <f aca="true" t="shared" si="45" ref="P445:P504">+O445-M445</f>
        <v>0</v>
      </c>
      <c r="Q445" s="680"/>
    </row>
    <row r="446" spans="2:17" ht="12.75">
      <c r="B446" s="330"/>
      <c r="C446" s="735">
        <f>IF(D439="","-",+C445+1)</f>
        <v>2014</v>
      </c>
      <c r="D446" s="679">
        <f aca="true" t="shared" si="46" ref="D446:D504">F445</f>
        <v>818037</v>
      </c>
      <c r="E446" s="741">
        <f>IF(D446&gt;$J$442,$J$442,D446)</f>
        <v>14104.086206896553</v>
      </c>
      <c r="F446" s="741">
        <f t="shared" si="40"/>
        <v>803932.9137931034</v>
      </c>
      <c r="G446" s="679">
        <f t="shared" si="41"/>
        <v>810984.9568965517</v>
      </c>
      <c r="H446" s="736">
        <f>+J440*G446+E446</f>
        <v>118403.88563818712</v>
      </c>
      <c r="I446" s="742">
        <f>+J441*G446+E446</f>
        <v>118403.88563818712</v>
      </c>
      <c r="J446" s="739">
        <f t="shared" si="42"/>
        <v>0</v>
      </c>
      <c r="K446" s="739"/>
      <c r="L446" s="1284">
        <v>139756</v>
      </c>
      <c r="M446" s="739">
        <f t="shared" si="43"/>
        <v>-21352.114361812884</v>
      </c>
      <c r="N446" s="1284">
        <v>139756</v>
      </c>
      <c r="O446" s="739">
        <f t="shared" si="44"/>
        <v>-21352.114361812884</v>
      </c>
      <c r="P446" s="739">
        <f t="shared" si="45"/>
        <v>0</v>
      </c>
      <c r="Q446" s="680"/>
    </row>
    <row r="447" spans="2:17" ht="12.75">
      <c r="B447" s="330"/>
      <c r="C447" s="1258">
        <f>IF(D439="","-",+C446+1)</f>
        <v>2015</v>
      </c>
      <c r="D447" s="679">
        <f t="shared" si="46"/>
        <v>803932.9137931034</v>
      </c>
      <c r="E447" s="741">
        <f aca="true" t="shared" si="47" ref="E447:E504">IF(D447&gt;$J$442,$J$442,D447)</f>
        <v>14104.086206896553</v>
      </c>
      <c r="F447" s="741">
        <f t="shared" si="40"/>
        <v>789828.8275862068</v>
      </c>
      <c r="G447" s="679">
        <f t="shared" si="41"/>
        <v>796880.8706896552</v>
      </c>
      <c r="H447" s="736">
        <f>+J440*G447+E447</f>
        <v>116589.97608286033</v>
      </c>
      <c r="I447" s="742">
        <f>+J441*G447+E447</f>
        <v>116589.97608286033</v>
      </c>
      <c r="J447" s="739">
        <f t="shared" si="42"/>
        <v>0</v>
      </c>
      <c r="K447" s="739"/>
      <c r="L447" s="1256">
        <v>133078</v>
      </c>
      <c r="M447" s="739">
        <f t="shared" si="43"/>
        <v>-16488.023917139668</v>
      </c>
      <c r="N447" s="1256">
        <v>133078</v>
      </c>
      <c r="O447" s="739">
        <f t="shared" si="44"/>
        <v>-16488.023917139668</v>
      </c>
      <c r="P447" s="739">
        <f t="shared" si="45"/>
        <v>0</v>
      </c>
      <c r="Q447" s="680"/>
    </row>
    <row r="448" spans="2:17" ht="12.75">
      <c r="B448" s="330"/>
      <c r="C448" s="735">
        <f>IF(D439="","-",+C447+1)</f>
        <v>2016</v>
      </c>
      <c r="D448" s="679">
        <f t="shared" si="46"/>
        <v>789828.8275862068</v>
      </c>
      <c r="E448" s="741">
        <f t="shared" si="47"/>
        <v>14104.086206896553</v>
      </c>
      <c r="F448" s="741">
        <f t="shared" si="40"/>
        <v>775724.7413793103</v>
      </c>
      <c r="G448" s="679">
        <f t="shared" si="41"/>
        <v>782776.7844827585</v>
      </c>
      <c r="H448" s="736">
        <f>+J440*G448+E448</f>
        <v>114776.06652753352</v>
      </c>
      <c r="I448" s="742">
        <f>+J441*G448+E448</f>
        <v>114776.06652753352</v>
      </c>
      <c r="J448" s="739">
        <f t="shared" si="42"/>
        <v>0</v>
      </c>
      <c r="K448" s="739"/>
      <c r="L448" s="1256">
        <v>132118</v>
      </c>
      <c r="M448" s="739">
        <f t="shared" si="43"/>
        <v>-17341.93347246648</v>
      </c>
      <c r="N448" s="1256">
        <v>132118</v>
      </c>
      <c r="O448" s="739">
        <f t="shared" si="44"/>
        <v>-17341.93347246648</v>
      </c>
      <c r="P448" s="739">
        <f t="shared" si="45"/>
        <v>0</v>
      </c>
      <c r="Q448" s="680"/>
    </row>
    <row r="449" spans="2:17" ht="12.75">
      <c r="B449" s="330"/>
      <c r="C449" s="1229">
        <f>IF(D439="","-",+C448+1)</f>
        <v>2017</v>
      </c>
      <c r="D449" s="679">
        <f t="shared" si="46"/>
        <v>775724.7413793103</v>
      </c>
      <c r="E449" s="741">
        <f t="shared" si="47"/>
        <v>14104.086206896553</v>
      </c>
      <c r="F449" s="741">
        <f t="shared" si="40"/>
        <v>761620.6551724137</v>
      </c>
      <c r="G449" s="679">
        <f t="shared" si="41"/>
        <v>768672.698275862</v>
      </c>
      <c r="H449" s="736">
        <f>+J440*G449+E449</f>
        <v>112962.15697220675</v>
      </c>
      <c r="I449" s="742">
        <f>+J441*G449+E449</f>
        <v>112962.15697220675</v>
      </c>
      <c r="J449" s="739">
        <f t="shared" si="42"/>
        <v>0</v>
      </c>
      <c r="K449" s="739"/>
      <c r="L449" s="1256">
        <v>119121</v>
      </c>
      <c r="M449" s="739">
        <f t="shared" si="43"/>
        <v>-6158.843027793249</v>
      </c>
      <c r="N449" s="1256">
        <v>119121</v>
      </c>
      <c r="O449" s="739">
        <f t="shared" si="44"/>
        <v>-6158.843027793249</v>
      </c>
      <c r="P449" s="739">
        <f t="shared" si="45"/>
        <v>0</v>
      </c>
      <c r="Q449" s="680"/>
    </row>
    <row r="450" spans="2:17" ht="12.75">
      <c r="B450" s="330"/>
      <c r="C450" s="735">
        <f>IF(D439="","-",+C449+1)</f>
        <v>2018</v>
      </c>
      <c r="D450" s="679">
        <f t="shared" si="46"/>
        <v>761620.6551724137</v>
      </c>
      <c r="E450" s="741">
        <f t="shared" si="47"/>
        <v>14104.086206896553</v>
      </c>
      <c r="F450" s="741">
        <f t="shared" si="40"/>
        <v>747516.5689655171</v>
      </c>
      <c r="G450" s="679">
        <f t="shared" si="41"/>
        <v>754568.6120689653</v>
      </c>
      <c r="H450" s="736">
        <f>+J440*G450+E450</f>
        <v>111148.24741687994</v>
      </c>
      <c r="I450" s="742">
        <f>+J441*G450+E450</f>
        <v>111148.24741687994</v>
      </c>
      <c r="J450" s="739">
        <f t="shared" si="42"/>
        <v>0</v>
      </c>
      <c r="K450" s="739"/>
      <c r="L450" s="1256"/>
      <c r="M450" s="739">
        <f t="shared" si="43"/>
        <v>0</v>
      </c>
      <c r="N450" s="1256"/>
      <c r="O450" s="739">
        <f t="shared" si="44"/>
        <v>0</v>
      </c>
      <c r="P450" s="739">
        <f t="shared" si="45"/>
        <v>0</v>
      </c>
      <c r="Q450" s="680"/>
    </row>
    <row r="451" spans="2:17" ht="12.75">
      <c r="B451" s="330"/>
      <c r="C451" s="735">
        <f>IF(D439="","-",+C450+1)</f>
        <v>2019</v>
      </c>
      <c r="D451" s="679">
        <f t="shared" si="46"/>
        <v>747516.5689655171</v>
      </c>
      <c r="E451" s="741">
        <f t="shared" si="47"/>
        <v>14104.086206896553</v>
      </c>
      <c r="F451" s="741">
        <f t="shared" si="40"/>
        <v>733412.4827586205</v>
      </c>
      <c r="G451" s="679">
        <f t="shared" si="41"/>
        <v>740464.5258620689</v>
      </c>
      <c r="H451" s="736">
        <f>+J440*G451+E451</f>
        <v>109334.33786155315</v>
      </c>
      <c r="I451" s="742">
        <f>+J441*G451+E451</f>
        <v>109334.33786155315</v>
      </c>
      <c r="J451" s="739">
        <f t="shared" si="42"/>
        <v>0</v>
      </c>
      <c r="K451" s="739"/>
      <c r="L451" s="1256"/>
      <c r="M451" s="739">
        <f t="shared" si="43"/>
        <v>0</v>
      </c>
      <c r="N451" s="1256"/>
      <c r="O451" s="739">
        <f t="shared" si="44"/>
        <v>0</v>
      </c>
      <c r="P451" s="739">
        <f t="shared" si="45"/>
        <v>0</v>
      </c>
      <c r="Q451" s="680"/>
    </row>
    <row r="452" spans="2:17" ht="12.75">
      <c r="B452" s="330"/>
      <c r="C452" s="735">
        <f>IF(D439="","-",+C451+1)</f>
        <v>2020</v>
      </c>
      <c r="D452" s="679">
        <f t="shared" si="46"/>
        <v>733412.4827586205</v>
      </c>
      <c r="E452" s="741">
        <f t="shared" si="47"/>
        <v>14104.086206896553</v>
      </c>
      <c r="F452" s="741">
        <f t="shared" si="40"/>
        <v>719308.3965517239</v>
      </c>
      <c r="G452" s="679">
        <f t="shared" si="41"/>
        <v>726360.4396551722</v>
      </c>
      <c r="H452" s="736">
        <f>+J440*G452+E452</f>
        <v>107520.42830622634</v>
      </c>
      <c r="I452" s="742">
        <f>+J441*G452+E452</f>
        <v>107520.42830622634</v>
      </c>
      <c r="J452" s="739">
        <f t="shared" si="42"/>
        <v>0</v>
      </c>
      <c r="K452" s="739"/>
      <c r="L452" s="1256"/>
      <c r="M452" s="739">
        <f t="shared" si="43"/>
        <v>0</v>
      </c>
      <c r="N452" s="1256"/>
      <c r="O452" s="739">
        <f t="shared" si="44"/>
        <v>0</v>
      </c>
      <c r="P452" s="739">
        <f t="shared" si="45"/>
        <v>0</v>
      </c>
      <c r="Q452" s="680"/>
    </row>
    <row r="453" spans="2:17" ht="12.75">
      <c r="B453" s="330"/>
      <c r="C453" s="735">
        <f>IF(D439="","-",+C452+1)</f>
        <v>2021</v>
      </c>
      <c r="D453" s="679">
        <f t="shared" si="46"/>
        <v>719308.3965517239</v>
      </c>
      <c r="E453" s="741">
        <f t="shared" si="47"/>
        <v>14104.086206896553</v>
      </c>
      <c r="F453" s="741">
        <f t="shared" si="40"/>
        <v>705204.3103448274</v>
      </c>
      <c r="G453" s="679">
        <f t="shared" si="41"/>
        <v>712256.3534482757</v>
      </c>
      <c r="H453" s="736">
        <f>+J440*G453+E453</f>
        <v>105706.51875089956</v>
      </c>
      <c r="I453" s="742">
        <f>+J441*G453+E453</f>
        <v>105706.51875089956</v>
      </c>
      <c r="J453" s="739">
        <f t="shared" si="42"/>
        <v>0</v>
      </c>
      <c r="K453" s="739"/>
      <c r="L453" s="1256"/>
      <c r="M453" s="739">
        <f t="shared" si="43"/>
        <v>0</v>
      </c>
      <c r="N453" s="1256"/>
      <c r="O453" s="739">
        <f t="shared" si="44"/>
        <v>0</v>
      </c>
      <c r="P453" s="739">
        <f t="shared" si="45"/>
        <v>0</v>
      </c>
      <c r="Q453" s="680"/>
    </row>
    <row r="454" spans="2:17" ht="12.75">
      <c r="B454" s="330"/>
      <c r="C454" s="1258">
        <f>IF(D439="","-",+C453+1)</f>
        <v>2022</v>
      </c>
      <c r="D454" s="679">
        <f t="shared" si="46"/>
        <v>705204.3103448274</v>
      </c>
      <c r="E454" s="741">
        <f t="shared" si="47"/>
        <v>14104.086206896553</v>
      </c>
      <c r="F454" s="741">
        <f t="shared" si="40"/>
        <v>691100.2241379308</v>
      </c>
      <c r="G454" s="679">
        <f t="shared" si="41"/>
        <v>698152.267241379</v>
      </c>
      <c r="H454" s="736">
        <f>+J440*G454+E454</f>
        <v>103892.60919557275</v>
      </c>
      <c r="I454" s="742">
        <f>+J441*G454+E454</f>
        <v>103892.60919557275</v>
      </c>
      <c r="J454" s="739">
        <f t="shared" si="42"/>
        <v>0</v>
      </c>
      <c r="K454" s="739"/>
      <c r="L454" s="1256"/>
      <c r="M454" s="739">
        <f t="shared" si="43"/>
        <v>0</v>
      </c>
      <c r="N454" s="1256"/>
      <c r="O454" s="739">
        <f t="shared" si="44"/>
        <v>0</v>
      </c>
      <c r="P454" s="739">
        <f t="shared" si="45"/>
        <v>0</v>
      </c>
      <c r="Q454" s="680"/>
    </row>
    <row r="455" spans="2:17" ht="12.75">
      <c r="B455" s="330"/>
      <c r="C455" s="735">
        <f>IF(D439="","-",+C454+1)</f>
        <v>2023</v>
      </c>
      <c r="D455" s="679">
        <f t="shared" si="46"/>
        <v>691100.2241379308</v>
      </c>
      <c r="E455" s="741">
        <f t="shared" si="47"/>
        <v>14104.086206896553</v>
      </c>
      <c r="F455" s="741">
        <f t="shared" si="40"/>
        <v>676996.1379310342</v>
      </c>
      <c r="G455" s="679">
        <f t="shared" si="41"/>
        <v>684048.1810344825</v>
      </c>
      <c r="H455" s="736">
        <f>+J440*G455+E455</f>
        <v>102078.69964024596</v>
      </c>
      <c r="I455" s="742">
        <f>+J441*G455+E455</f>
        <v>102078.69964024596</v>
      </c>
      <c r="J455" s="739">
        <f t="shared" si="42"/>
        <v>0</v>
      </c>
      <c r="K455" s="739"/>
      <c r="L455" s="743"/>
      <c r="M455" s="739">
        <f t="shared" si="43"/>
        <v>0</v>
      </c>
      <c r="N455" s="743"/>
      <c r="O455" s="739">
        <f t="shared" si="44"/>
        <v>0</v>
      </c>
      <c r="P455" s="739">
        <f t="shared" si="45"/>
        <v>0</v>
      </c>
      <c r="Q455" s="680"/>
    </row>
    <row r="456" spans="2:17" ht="12.75">
      <c r="B456" s="330"/>
      <c r="C456" s="735">
        <f>IF(D439="","-",+C455+1)</f>
        <v>2024</v>
      </c>
      <c r="D456" s="679">
        <f t="shared" si="46"/>
        <v>676996.1379310342</v>
      </c>
      <c r="E456" s="741">
        <f t="shared" si="47"/>
        <v>14104.086206896553</v>
      </c>
      <c r="F456" s="741">
        <f t="shared" si="40"/>
        <v>662892.0517241376</v>
      </c>
      <c r="G456" s="679">
        <f t="shared" si="41"/>
        <v>669944.0948275859</v>
      </c>
      <c r="H456" s="736">
        <f>+J440*G456+E456</f>
        <v>100264.79008491915</v>
      </c>
      <c r="I456" s="742">
        <f>+J441*G456+E456</f>
        <v>100264.79008491915</v>
      </c>
      <c r="J456" s="739">
        <f t="shared" si="42"/>
        <v>0</v>
      </c>
      <c r="K456" s="739"/>
      <c r="L456" s="743"/>
      <c r="M456" s="739">
        <f t="shared" si="43"/>
        <v>0</v>
      </c>
      <c r="N456" s="743"/>
      <c r="O456" s="739">
        <f t="shared" si="44"/>
        <v>0</v>
      </c>
      <c r="P456" s="739">
        <f t="shared" si="45"/>
        <v>0</v>
      </c>
      <c r="Q456" s="680"/>
    </row>
    <row r="457" spans="2:17" ht="12.75">
      <c r="B457" s="330"/>
      <c r="C457" s="735">
        <f>IF(D439="","-",+C456+1)</f>
        <v>2025</v>
      </c>
      <c r="D457" s="679">
        <f t="shared" si="46"/>
        <v>662892.0517241376</v>
      </c>
      <c r="E457" s="741">
        <f t="shared" si="47"/>
        <v>14104.086206896553</v>
      </c>
      <c r="F457" s="741">
        <f t="shared" si="40"/>
        <v>648787.965517241</v>
      </c>
      <c r="G457" s="679">
        <f t="shared" si="41"/>
        <v>655840.0086206894</v>
      </c>
      <c r="H457" s="736">
        <f>+J440*G457+E457</f>
        <v>98450.88052959237</v>
      </c>
      <c r="I457" s="742">
        <f>+J441*G457+E457</f>
        <v>98450.88052959237</v>
      </c>
      <c r="J457" s="739">
        <f t="shared" si="42"/>
        <v>0</v>
      </c>
      <c r="K457" s="739"/>
      <c r="L457" s="743"/>
      <c r="M457" s="739">
        <f t="shared" si="43"/>
        <v>0</v>
      </c>
      <c r="N457" s="743"/>
      <c r="O457" s="739">
        <f t="shared" si="44"/>
        <v>0</v>
      </c>
      <c r="P457" s="739">
        <f t="shared" si="45"/>
        <v>0</v>
      </c>
      <c r="Q457" s="680"/>
    </row>
    <row r="458" spans="2:17" ht="12.75">
      <c r="B458" s="330"/>
      <c r="C458" s="735">
        <f>IF(D439="","-",+C457+1)</f>
        <v>2026</v>
      </c>
      <c r="D458" s="679">
        <f t="shared" si="46"/>
        <v>648787.965517241</v>
      </c>
      <c r="E458" s="741">
        <f t="shared" si="47"/>
        <v>14104.086206896553</v>
      </c>
      <c r="F458" s="741">
        <f t="shared" si="40"/>
        <v>634683.8793103445</v>
      </c>
      <c r="G458" s="679">
        <f t="shared" si="41"/>
        <v>641735.9224137927</v>
      </c>
      <c r="H458" s="736">
        <f>+J440*G458+E458</f>
        <v>96636.97097426557</v>
      </c>
      <c r="I458" s="742">
        <f>+J441*G458+E458</f>
        <v>96636.97097426557</v>
      </c>
      <c r="J458" s="739">
        <f t="shared" si="42"/>
        <v>0</v>
      </c>
      <c r="K458" s="739"/>
      <c r="L458" s="743"/>
      <c r="M458" s="739">
        <f t="shared" si="43"/>
        <v>0</v>
      </c>
      <c r="N458" s="743"/>
      <c r="O458" s="739">
        <f t="shared" si="44"/>
        <v>0</v>
      </c>
      <c r="P458" s="739">
        <f t="shared" si="45"/>
        <v>0</v>
      </c>
      <c r="Q458" s="680"/>
    </row>
    <row r="459" spans="2:17" ht="12.75">
      <c r="B459" s="330"/>
      <c r="C459" s="735">
        <f>IF(D439="","-",+C458+1)</f>
        <v>2027</v>
      </c>
      <c r="D459" s="679">
        <f t="shared" si="46"/>
        <v>634683.8793103445</v>
      </c>
      <c r="E459" s="741">
        <f t="shared" si="47"/>
        <v>14104.086206896553</v>
      </c>
      <c r="F459" s="741">
        <f t="shared" si="40"/>
        <v>620579.7931034479</v>
      </c>
      <c r="G459" s="679">
        <f t="shared" si="41"/>
        <v>627631.8362068962</v>
      </c>
      <c r="H459" s="736">
        <f>+J440*G459+E459</f>
        <v>94823.06141893879</v>
      </c>
      <c r="I459" s="742">
        <f>+J441*G459+E459</f>
        <v>94823.06141893879</v>
      </c>
      <c r="J459" s="739">
        <f t="shared" si="42"/>
        <v>0</v>
      </c>
      <c r="K459" s="739"/>
      <c r="L459" s="743"/>
      <c r="M459" s="739">
        <f t="shared" si="43"/>
        <v>0</v>
      </c>
      <c r="N459" s="743"/>
      <c r="O459" s="739">
        <f t="shared" si="44"/>
        <v>0</v>
      </c>
      <c r="P459" s="739">
        <f t="shared" si="45"/>
        <v>0</v>
      </c>
      <c r="Q459" s="680"/>
    </row>
    <row r="460" spans="2:17" ht="12.75">
      <c r="B460" s="330"/>
      <c r="C460" s="735">
        <f>IF(D439="","-",+C459+1)</f>
        <v>2028</v>
      </c>
      <c r="D460" s="679">
        <f t="shared" si="46"/>
        <v>620579.7931034479</v>
      </c>
      <c r="E460" s="741">
        <f t="shared" si="47"/>
        <v>14104.086206896553</v>
      </c>
      <c r="F460" s="741">
        <f t="shared" si="40"/>
        <v>606475.7068965513</v>
      </c>
      <c r="G460" s="679">
        <f t="shared" si="41"/>
        <v>613527.7499999995</v>
      </c>
      <c r="H460" s="736">
        <f>+J440*G460+E460</f>
        <v>93009.15186361197</v>
      </c>
      <c r="I460" s="742">
        <f>+J441*G460+E460</f>
        <v>93009.15186361197</v>
      </c>
      <c r="J460" s="739">
        <f t="shared" si="42"/>
        <v>0</v>
      </c>
      <c r="K460" s="739"/>
      <c r="L460" s="743"/>
      <c r="M460" s="739">
        <f t="shared" si="43"/>
        <v>0</v>
      </c>
      <c r="N460" s="743"/>
      <c r="O460" s="739">
        <f t="shared" si="44"/>
        <v>0</v>
      </c>
      <c r="P460" s="739">
        <f t="shared" si="45"/>
        <v>0</v>
      </c>
      <c r="Q460" s="680"/>
    </row>
    <row r="461" spans="2:17" ht="12.75">
      <c r="B461" s="330"/>
      <c r="C461" s="735">
        <f>IF(D439="","-",+C460+1)</f>
        <v>2029</v>
      </c>
      <c r="D461" s="679">
        <f t="shared" si="46"/>
        <v>606475.7068965513</v>
      </c>
      <c r="E461" s="741">
        <f t="shared" si="47"/>
        <v>14104.086206896553</v>
      </c>
      <c r="F461" s="741">
        <f t="shared" si="40"/>
        <v>592371.6206896547</v>
      </c>
      <c r="G461" s="679">
        <f t="shared" si="41"/>
        <v>599423.6637931031</v>
      </c>
      <c r="H461" s="736">
        <f>+J440*G461+E461</f>
        <v>91195.24230828519</v>
      </c>
      <c r="I461" s="742">
        <f>+J441*G461+E461</f>
        <v>91195.24230828519</v>
      </c>
      <c r="J461" s="739">
        <f t="shared" si="42"/>
        <v>0</v>
      </c>
      <c r="K461" s="739"/>
      <c r="L461" s="743"/>
      <c r="M461" s="739">
        <f t="shared" si="43"/>
        <v>0</v>
      </c>
      <c r="N461" s="743"/>
      <c r="O461" s="739">
        <f t="shared" si="44"/>
        <v>0</v>
      </c>
      <c r="P461" s="739">
        <f t="shared" si="45"/>
        <v>0</v>
      </c>
      <c r="Q461" s="680"/>
    </row>
    <row r="462" spans="2:17" ht="12.75">
      <c r="B462" s="330"/>
      <c r="C462" s="735">
        <f>IF(D439="","-",+C461+1)</f>
        <v>2030</v>
      </c>
      <c r="D462" s="679">
        <f t="shared" si="46"/>
        <v>592371.6206896547</v>
      </c>
      <c r="E462" s="741">
        <f t="shared" si="47"/>
        <v>14104.086206896553</v>
      </c>
      <c r="F462" s="741">
        <f t="shared" si="40"/>
        <v>578267.5344827581</v>
      </c>
      <c r="G462" s="679">
        <f t="shared" si="41"/>
        <v>585319.5775862064</v>
      </c>
      <c r="H462" s="736">
        <f>+J440*G462+E462</f>
        <v>89381.33275295838</v>
      </c>
      <c r="I462" s="742">
        <f>+J441*G462+E462</f>
        <v>89381.33275295838</v>
      </c>
      <c r="J462" s="739">
        <f t="shared" si="42"/>
        <v>0</v>
      </c>
      <c r="K462" s="739"/>
      <c r="L462" s="743"/>
      <c r="M462" s="739">
        <f t="shared" si="43"/>
        <v>0</v>
      </c>
      <c r="N462" s="743"/>
      <c r="O462" s="739">
        <f t="shared" si="44"/>
        <v>0</v>
      </c>
      <c r="P462" s="739">
        <f t="shared" si="45"/>
        <v>0</v>
      </c>
      <c r="Q462" s="680"/>
    </row>
    <row r="463" spans="2:17" ht="12.75">
      <c r="B463" s="330"/>
      <c r="C463" s="735">
        <f>IF(D439="","-",+C462+1)</f>
        <v>2031</v>
      </c>
      <c r="D463" s="679">
        <f t="shared" si="46"/>
        <v>578267.5344827581</v>
      </c>
      <c r="E463" s="741">
        <f t="shared" si="47"/>
        <v>14104.086206896553</v>
      </c>
      <c r="F463" s="741">
        <f t="shared" si="40"/>
        <v>564163.4482758616</v>
      </c>
      <c r="G463" s="679">
        <f t="shared" si="41"/>
        <v>571215.4913793099</v>
      </c>
      <c r="H463" s="736">
        <f>+J440*G463+E463</f>
        <v>87567.4231976316</v>
      </c>
      <c r="I463" s="742">
        <f>+J441*G463+E463</f>
        <v>87567.4231976316</v>
      </c>
      <c r="J463" s="739">
        <f t="shared" si="42"/>
        <v>0</v>
      </c>
      <c r="K463" s="739"/>
      <c r="L463" s="743"/>
      <c r="M463" s="739">
        <f t="shared" si="43"/>
        <v>0</v>
      </c>
      <c r="N463" s="743"/>
      <c r="O463" s="739">
        <f t="shared" si="44"/>
        <v>0</v>
      </c>
      <c r="P463" s="739">
        <f t="shared" si="45"/>
        <v>0</v>
      </c>
      <c r="Q463" s="680"/>
    </row>
    <row r="464" spans="2:17" ht="12.75">
      <c r="B464" s="330"/>
      <c r="C464" s="735">
        <f>IF(D439="","-",+C463+1)</f>
        <v>2032</v>
      </c>
      <c r="D464" s="679">
        <f t="shared" si="46"/>
        <v>564163.4482758616</v>
      </c>
      <c r="E464" s="741">
        <f t="shared" si="47"/>
        <v>14104.086206896553</v>
      </c>
      <c r="F464" s="741">
        <f t="shared" si="40"/>
        <v>550059.362068965</v>
      </c>
      <c r="G464" s="679">
        <f t="shared" si="41"/>
        <v>557111.4051724132</v>
      </c>
      <c r="H464" s="736">
        <f>+J440*G464+E464</f>
        <v>85753.51364230478</v>
      </c>
      <c r="I464" s="742">
        <f>+J441*G464+E464</f>
        <v>85753.51364230478</v>
      </c>
      <c r="J464" s="739">
        <f t="shared" si="42"/>
        <v>0</v>
      </c>
      <c r="K464" s="739"/>
      <c r="L464" s="743"/>
      <c r="M464" s="739">
        <f t="shared" si="43"/>
        <v>0</v>
      </c>
      <c r="N464" s="743"/>
      <c r="O464" s="739">
        <f t="shared" si="44"/>
        <v>0</v>
      </c>
      <c r="P464" s="739">
        <f t="shared" si="45"/>
        <v>0</v>
      </c>
      <c r="Q464" s="680"/>
    </row>
    <row r="465" spans="2:17" ht="12.75">
      <c r="B465" s="330"/>
      <c r="C465" s="735">
        <f>IF(D439="","-",+C464+1)</f>
        <v>2033</v>
      </c>
      <c r="D465" s="679">
        <f t="shared" si="46"/>
        <v>550059.362068965</v>
      </c>
      <c r="E465" s="741">
        <f t="shared" si="47"/>
        <v>14104.086206896553</v>
      </c>
      <c r="F465" s="741">
        <f t="shared" si="40"/>
        <v>535955.2758620684</v>
      </c>
      <c r="G465" s="679">
        <f t="shared" si="41"/>
        <v>543007.3189655168</v>
      </c>
      <c r="H465" s="736">
        <f>+J440*G465+E465</f>
        <v>83939.604086978</v>
      </c>
      <c r="I465" s="742">
        <f>+J441*G465+E465</f>
        <v>83939.604086978</v>
      </c>
      <c r="J465" s="739">
        <f t="shared" si="42"/>
        <v>0</v>
      </c>
      <c r="K465" s="739"/>
      <c r="L465" s="743"/>
      <c r="M465" s="739">
        <f t="shared" si="43"/>
        <v>0</v>
      </c>
      <c r="N465" s="743"/>
      <c r="O465" s="739">
        <f t="shared" si="44"/>
        <v>0</v>
      </c>
      <c r="P465" s="739">
        <f t="shared" si="45"/>
        <v>0</v>
      </c>
      <c r="Q465" s="680"/>
    </row>
    <row r="466" spans="2:17" ht="12.75">
      <c r="B466" s="330"/>
      <c r="C466" s="735">
        <f>IF(D439="","-",+C465+1)</f>
        <v>2034</v>
      </c>
      <c r="D466" s="679">
        <f t="shared" si="46"/>
        <v>535955.2758620684</v>
      </c>
      <c r="E466" s="741">
        <f t="shared" si="47"/>
        <v>14104.086206896553</v>
      </c>
      <c r="F466" s="741">
        <f t="shared" si="40"/>
        <v>521851.1896551718</v>
      </c>
      <c r="G466" s="679">
        <f t="shared" si="41"/>
        <v>528903.23275862</v>
      </c>
      <c r="H466" s="736">
        <f>+J440*G466+E466</f>
        <v>82125.6945316512</v>
      </c>
      <c r="I466" s="742">
        <f>+J441*G466+E466</f>
        <v>82125.6945316512</v>
      </c>
      <c r="J466" s="739">
        <f t="shared" si="42"/>
        <v>0</v>
      </c>
      <c r="K466" s="739"/>
      <c r="L466" s="743"/>
      <c r="M466" s="739">
        <f t="shared" si="43"/>
        <v>0</v>
      </c>
      <c r="N466" s="743"/>
      <c r="O466" s="739">
        <f t="shared" si="44"/>
        <v>0</v>
      </c>
      <c r="P466" s="739">
        <f t="shared" si="45"/>
        <v>0</v>
      </c>
      <c r="Q466" s="680"/>
    </row>
    <row r="467" spans="2:17" ht="12.75">
      <c r="B467" s="330"/>
      <c r="C467" s="735">
        <f>IF(D439="","-",+C466+1)</f>
        <v>2035</v>
      </c>
      <c r="D467" s="679">
        <f t="shared" si="46"/>
        <v>521851.1896551718</v>
      </c>
      <c r="E467" s="741">
        <f t="shared" si="47"/>
        <v>14104.086206896553</v>
      </c>
      <c r="F467" s="741">
        <f t="shared" si="40"/>
        <v>507747.10344827524</v>
      </c>
      <c r="G467" s="679">
        <f t="shared" si="41"/>
        <v>514799.14655172353</v>
      </c>
      <c r="H467" s="736">
        <f>+J440*G467+E467</f>
        <v>80311.7849763244</v>
      </c>
      <c r="I467" s="742">
        <f>+J441*G467+E467</f>
        <v>80311.7849763244</v>
      </c>
      <c r="J467" s="739">
        <f t="shared" si="42"/>
        <v>0</v>
      </c>
      <c r="K467" s="739"/>
      <c r="L467" s="743"/>
      <c r="M467" s="739">
        <f t="shared" si="43"/>
        <v>0</v>
      </c>
      <c r="N467" s="743"/>
      <c r="O467" s="739">
        <f t="shared" si="44"/>
        <v>0</v>
      </c>
      <c r="P467" s="739">
        <f t="shared" si="45"/>
        <v>0</v>
      </c>
      <c r="Q467" s="680"/>
    </row>
    <row r="468" spans="2:17" ht="12.75">
      <c r="B468" s="330"/>
      <c r="C468" s="735">
        <f>IF(D439="","-",+C467+1)</f>
        <v>2036</v>
      </c>
      <c r="D468" s="679">
        <f t="shared" si="46"/>
        <v>507747.10344827524</v>
      </c>
      <c r="E468" s="741">
        <f t="shared" si="47"/>
        <v>14104.086206896553</v>
      </c>
      <c r="F468" s="741">
        <f t="shared" si="40"/>
        <v>493643.01724137866</v>
      </c>
      <c r="G468" s="679">
        <f t="shared" si="41"/>
        <v>500695.06034482695</v>
      </c>
      <c r="H468" s="736">
        <f>+J440*G468+E468</f>
        <v>78497.87542099762</v>
      </c>
      <c r="I468" s="742">
        <f>+J441*G468+E468</f>
        <v>78497.87542099762</v>
      </c>
      <c r="J468" s="739">
        <f t="shared" si="42"/>
        <v>0</v>
      </c>
      <c r="K468" s="739"/>
      <c r="L468" s="743"/>
      <c r="M468" s="739">
        <f t="shared" si="43"/>
        <v>0</v>
      </c>
      <c r="N468" s="743"/>
      <c r="O468" s="739">
        <f t="shared" si="44"/>
        <v>0</v>
      </c>
      <c r="P468" s="739">
        <f t="shared" si="45"/>
        <v>0</v>
      </c>
      <c r="Q468" s="680"/>
    </row>
    <row r="469" spans="2:17" ht="12.75">
      <c r="B469" s="330"/>
      <c r="C469" s="735">
        <f>IF(D439="","-",+C468+1)</f>
        <v>2037</v>
      </c>
      <c r="D469" s="679">
        <f t="shared" si="46"/>
        <v>493643.01724137866</v>
      </c>
      <c r="E469" s="741">
        <f t="shared" si="47"/>
        <v>14104.086206896553</v>
      </c>
      <c r="F469" s="741">
        <f t="shared" si="40"/>
        <v>479538.9310344821</v>
      </c>
      <c r="G469" s="679">
        <f t="shared" si="41"/>
        <v>486590.9741379304</v>
      </c>
      <c r="H469" s="736">
        <f>+J440*G469+E469</f>
        <v>76683.96586567082</v>
      </c>
      <c r="I469" s="742">
        <f>+J441*G469+E469</f>
        <v>76683.96586567082</v>
      </c>
      <c r="J469" s="739">
        <f t="shared" si="42"/>
        <v>0</v>
      </c>
      <c r="K469" s="739"/>
      <c r="L469" s="743"/>
      <c r="M469" s="739">
        <f t="shared" si="43"/>
        <v>0</v>
      </c>
      <c r="N469" s="743"/>
      <c r="O469" s="739">
        <f t="shared" si="44"/>
        <v>0</v>
      </c>
      <c r="P469" s="739">
        <f t="shared" si="45"/>
        <v>0</v>
      </c>
      <c r="Q469" s="680"/>
    </row>
    <row r="470" spans="2:17" ht="12.75">
      <c r="B470" s="330"/>
      <c r="C470" s="735">
        <f>IF(D439="","-",+C469+1)</f>
        <v>2038</v>
      </c>
      <c r="D470" s="679">
        <f t="shared" si="46"/>
        <v>479538.9310344821</v>
      </c>
      <c r="E470" s="741">
        <f t="shared" si="47"/>
        <v>14104.086206896553</v>
      </c>
      <c r="F470" s="741">
        <f t="shared" si="40"/>
        <v>465434.8448275855</v>
      </c>
      <c r="G470" s="679">
        <f t="shared" si="41"/>
        <v>472486.8879310338</v>
      </c>
      <c r="H470" s="736">
        <f>+J440*G470+E470</f>
        <v>74870.05631034402</v>
      </c>
      <c r="I470" s="742">
        <f>+J441*G470+E470</f>
        <v>74870.05631034402</v>
      </c>
      <c r="J470" s="739">
        <f t="shared" si="42"/>
        <v>0</v>
      </c>
      <c r="K470" s="739"/>
      <c r="L470" s="743"/>
      <c r="M470" s="739">
        <f t="shared" si="43"/>
        <v>0</v>
      </c>
      <c r="N470" s="743"/>
      <c r="O470" s="739">
        <f t="shared" si="44"/>
        <v>0</v>
      </c>
      <c r="P470" s="739">
        <f t="shared" si="45"/>
        <v>0</v>
      </c>
      <c r="Q470" s="680"/>
    </row>
    <row r="471" spans="2:17" ht="12.75">
      <c r="B471" s="330"/>
      <c r="C471" s="735">
        <f>IF(D439="","-",+C470+1)</f>
        <v>2039</v>
      </c>
      <c r="D471" s="679">
        <f t="shared" si="46"/>
        <v>465434.8448275855</v>
      </c>
      <c r="E471" s="741">
        <f t="shared" si="47"/>
        <v>14104.086206896553</v>
      </c>
      <c r="F471" s="741">
        <f t="shared" si="40"/>
        <v>451330.7586206889</v>
      </c>
      <c r="G471" s="679">
        <f t="shared" si="41"/>
        <v>458382.8017241372</v>
      </c>
      <c r="H471" s="736">
        <f>+J440*G471+E471</f>
        <v>73056.14675501722</v>
      </c>
      <c r="I471" s="742">
        <f>+J441*G471+E471</f>
        <v>73056.14675501722</v>
      </c>
      <c r="J471" s="739">
        <f t="shared" si="42"/>
        <v>0</v>
      </c>
      <c r="K471" s="739"/>
      <c r="L471" s="743"/>
      <c r="M471" s="739">
        <f t="shared" si="43"/>
        <v>0</v>
      </c>
      <c r="N471" s="743"/>
      <c r="O471" s="739">
        <f t="shared" si="44"/>
        <v>0</v>
      </c>
      <c r="P471" s="739">
        <f t="shared" si="45"/>
        <v>0</v>
      </c>
      <c r="Q471" s="680"/>
    </row>
    <row r="472" spans="2:17" ht="12.75">
      <c r="B472" s="330"/>
      <c r="C472" s="735">
        <f>IF(D439="","-",+C471+1)</f>
        <v>2040</v>
      </c>
      <c r="D472" s="679">
        <f t="shared" si="46"/>
        <v>451330.7586206889</v>
      </c>
      <c r="E472" s="741">
        <f t="shared" si="47"/>
        <v>14104.086206896553</v>
      </c>
      <c r="F472" s="741">
        <f t="shared" si="40"/>
        <v>437226.67241379234</v>
      </c>
      <c r="G472" s="679">
        <f t="shared" si="41"/>
        <v>444278.71551724063</v>
      </c>
      <c r="H472" s="736">
        <f>+J440*G472+E472</f>
        <v>71242.23719969043</v>
      </c>
      <c r="I472" s="742">
        <f>+J441*G472+E472</f>
        <v>71242.23719969043</v>
      </c>
      <c r="J472" s="739">
        <f t="shared" si="42"/>
        <v>0</v>
      </c>
      <c r="K472" s="739"/>
      <c r="L472" s="743"/>
      <c r="M472" s="739">
        <f t="shared" si="43"/>
        <v>0</v>
      </c>
      <c r="N472" s="743"/>
      <c r="O472" s="739">
        <f t="shared" si="44"/>
        <v>0</v>
      </c>
      <c r="P472" s="739">
        <f t="shared" si="45"/>
        <v>0</v>
      </c>
      <c r="Q472" s="680"/>
    </row>
    <row r="473" spans="2:17" ht="12.75">
      <c r="B473" s="330"/>
      <c r="C473" s="735">
        <f>IF(D439="","-",+C472+1)</f>
        <v>2041</v>
      </c>
      <c r="D473" s="679">
        <f t="shared" si="46"/>
        <v>437226.67241379234</v>
      </c>
      <c r="E473" s="741">
        <f t="shared" si="47"/>
        <v>14104.086206896553</v>
      </c>
      <c r="F473" s="741">
        <f t="shared" si="40"/>
        <v>423122.58620689576</v>
      </c>
      <c r="G473" s="679">
        <f t="shared" si="41"/>
        <v>430174.62931034405</v>
      </c>
      <c r="H473" s="736">
        <f>+J440*G473+E473</f>
        <v>69428.32764436363</v>
      </c>
      <c r="I473" s="742">
        <f>+J441*G473+E473</f>
        <v>69428.32764436363</v>
      </c>
      <c r="J473" s="739">
        <f t="shared" si="42"/>
        <v>0</v>
      </c>
      <c r="K473" s="739"/>
      <c r="L473" s="743"/>
      <c r="M473" s="739">
        <f t="shared" si="43"/>
        <v>0</v>
      </c>
      <c r="N473" s="743"/>
      <c r="O473" s="739">
        <f t="shared" si="44"/>
        <v>0</v>
      </c>
      <c r="P473" s="739">
        <f t="shared" si="45"/>
        <v>0</v>
      </c>
      <c r="Q473" s="680"/>
    </row>
    <row r="474" spans="2:17" ht="12.75">
      <c r="B474" s="330"/>
      <c r="C474" s="735">
        <f>IF(D439="","-",+C473+1)</f>
        <v>2042</v>
      </c>
      <c r="D474" s="679">
        <f t="shared" si="46"/>
        <v>423122.58620689576</v>
      </c>
      <c r="E474" s="741">
        <f t="shared" si="47"/>
        <v>14104.086206896553</v>
      </c>
      <c r="F474" s="741">
        <f t="shared" si="40"/>
        <v>409018.4999999992</v>
      </c>
      <c r="G474" s="679">
        <f t="shared" si="41"/>
        <v>416070.5431034475</v>
      </c>
      <c r="H474" s="736">
        <f>+J440*G474+E474</f>
        <v>67614.41808903683</v>
      </c>
      <c r="I474" s="742">
        <f>+J441*G474+E474</f>
        <v>67614.41808903683</v>
      </c>
      <c r="J474" s="739">
        <f t="shared" si="42"/>
        <v>0</v>
      </c>
      <c r="K474" s="739"/>
      <c r="L474" s="743"/>
      <c r="M474" s="739">
        <f t="shared" si="43"/>
        <v>0</v>
      </c>
      <c r="N474" s="743"/>
      <c r="O474" s="739">
        <f t="shared" si="44"/>
        <v>0</v>
      </c>
      <c r="P474" s="739">
        <f t="shared" si="45"/>
        <v>0</v>
      </c>
      <c r="Q474" s="680"/>
    </row>
    <row r="475" spans="2:17" ht="12.75">
      <c r="B475" s="330"/>
      <c r="C475" s="735">
        <f>IF(D439="","-",+C474+1)</f>
        <v>2043</v>
      </c>
      <c r="D475" s="679">
        <f t="shared" si="46"/>
        <v>409018.4999999992</v>
      </c>
      <c r="E475" s="741">
        <f t="shared" si="47"/>
        <v>14104.086206896553</v>
      </c>
      <c r="F475" s="741">
        <f t="shared" si="40"/>
        <v>394914.4137931026</v>
      </c>
      <c r="G475" s="679">
        <f t="shared" si="41"/>
        <v>401966.4568965509</v>
      </c>
      <c r="H475" s="736">
        <f>+J440*G475+E475</f>
        <v>65800.50853371003</v>
      </c>
      <c r="I475" s="742">
        <f>+J441*G475+E475</f>
        <v>65800.50853371003</v>
      </c>
      <c r="J475" s="739">
        <f t="shared" si="42"/>
        <v>0</v>
      </c>
      <c r="K475" s="739"/>
      <c r="L475" s="743"/>
      <c r="M475" s="739">
        <f t="shared" si="43"/>
        <v>0</v>
      </c>
      <c r="N475" s="743"/>
      <c r="O475" s="739">
        <f t="shared" si="44"/>
        <v>0</v>
      </c>
      <c r="P475" s="739">
        <f t="shared" si="45"/>
        <v>0</v>
      </c>
      <c r="Q475" s="680"/>
    </row>
    <row r="476" spans="2:17" ht="12.75">
      <c r="B476" s="330"/>
      <c r="C476" s="735">
        <f>IF(D439="","-",+C475+1)</f>
        <v>2044</v>
      </c>
      <c r="D476" s="679">
        <f t="shared" si="46"/>
        <v>394914.4137931026</v>
      </c>
      <c r="E476" s="741">
        <f t="shared" si="47"/>
        <v>14104.086206896553</v>
      </c>
      <c r="F476" s="741">
        <f t="shared" si="40"/>
        <v>380810.327586206</v>
      </c>
      <c r="G476" s="679">
        <f t="shared" si="41"/>
        <v>387862.3706896543</v>
      </c>
      <c r="H476" s="736">
        <f>+J440*G476+E476</f>
        <v>63986.59897838324</v>
      </c>
      <c r="I476" s="742">
        <f>+J441*G476+E476</f>
        <v>63986.59897838324</v>
      </c>
      <c r="J476" s="739">
        <f t="shared" si="42"/>
        <v>0</v>
      </c>
      <c r="K476" s="739"/>
      <c r="L476" s="743"/>
      <c r="M476" s="739">
        <f t="shared" si="43"/>
        <v>0</v>
      </c>
      <c r="N476" s="743"/>
      <c r="O476" s="739">
        <f t="shared" si="44"/>
        <v>0</v>
      </c>
      <c r="P476" s="739">
        <f t="shared" si="45"/>
        <v>0</v>
      </c>
      <c r="Q476" s="680"/>
    </row>
    <row r="477" spans="2:17" ht="12.75">
      <c r="B477" s="330"/>
      <c r="C477" s="735">
        <f>IF(D439="","-",+C476+1)</f>
        <v>2045</v>
      </c>
      <c r="D477" s="679">
        <f t="shared" si="46"/>
        <v>380810.327586206</v>
      </c>
      <c r="E477" s="741">
        <f t="shared" si="47"/>
        <v>14104.086206896553</v>
      </c>
      <c r="F477" s="741">
        <f t="shared" si="40"/>
        <v>366706.24137930945</v>
      </c>
      <c r="G477" s="679">
        <f t="shared" si="41"/>
        <v>373758.28448275774</v>
      </c>
      <c r="H477" s="736">
        <f>+J440*G477+E477</f>
        <v>62172.68942305644</v>
      </c>
      <c r="I477" s="742">
        <f>+J441*G477+E477</f>
        <v>62172.68942305644</v>
      </c>
      <c r="J477" s="739">
        <f t="shared" si="42"/>
        <v>0</v>
      </c>
      <c r="K477" s="739"/>
      <c r="L477" s="743"/>
      <c r="M477" s="739">
        <f t="shared" si="43"/>
        <v>0</v>
      </c>
      <c r="N477" s="743"/>
      <c r="O477" s="739">
        <f t="shared" si="44"/>
        <v>0</v>
      </c>
      <c r="P477" s="739">
        <f t="shared" si="45"/>
        <v>0</v>
      </c>
      <c r="Q477" s="680"/>
    </row>
    <row r="478" spans="2:17" ht="12.75">
      <c r="B478" s="330"/>
      <c r="C478" s="735">
        <f>IF(D439="","-",+C477+1)</f>
        <v>2046</v>
      </c>
      <c r="D478" s="679">
        <f t="shared" si="46"/>
        <v>366706.24137930945</v>
      </c>
      <c r="E478" s="741">
        <f t="shared" si="47"/>
        <v>14104.086206896553</v>
      </c>
      <c r="F478" s="741">
        <f t="shared" si="40"/>
        <v>352602.15517241287</v>
      </c>
      <c r="G478" s="679">
        <f t="shared" si="41"/>
        <v>359654.19827586116</v>
      </c>
      <c r="H478" s="736">
        <f>+J440*G478+E478</f>
        <v>60358.779867729645</v>
      </c>
      <c r="I478" s="742">
        <f>+J441*G478+E478</f>
        <v>60358.779867729645</v>
      </c>
      <c r="J478" s="739">
        <f t="shared" si="42"/>
        <v>0</v>
      </c>
      <c r="K478" s="739"/>
      <c r="L478" s="743"/>
      <c r="M478" s="739">
        <f t="shared" si="43"/>
        <v>0</v>
      </c>
      <c r="N478" s="743"/>
      <c r="O478" s="739">
        <f t="shared" si="44"/>
        <v>0</v>
      </c>
      <c r="P478" s="739">
        <f t="shared" si="45"/>
        <v>0</v>
      </c>
      <c r="Q478" s="680"/>
    </row>
    <row r="479" spans="2:17" ht="12.75">
      <c r="B479" s="330"/>
      <c r="C479" s="735">
        <f>IF(D439="","-",+C478+1)</f>
        <v>2047</v>
      </c>
      <c r="D479" s="679">
        <f t="shared" si="46"/>
        <v>352602.15517241287</v>
      </c>
      <c r="E479" s="741">
        <f t="shared" si="47"/>
        <v>14104.086206896553</v>
      </c>
      <c r="F479" s="741">
        <f t="shared" si="40"/>
        <v>338498.0689655163</v>
      </c>
      <c r="G479" s="679">
        <f t="shared" si="41"/>
        <v>345550.1120689646</v>
      </c>
      <c r="H479" s="736">
        <f>+J440*G479+E479</f>
        <v>58544.87031240285</v>
      </c>
      <c r="I479" s="742">
        <f>+J441*G479+E479</f>
        <v>58544.87031240285</v>
      </c>
      <c r="J479" s="739">
        <f t="shared" si="42"/>
        <v>0</v>
      </c>
      <c r="K479" s="739"/>
      <c r="L479" s="743"/>
      <c r="M479" s="739">
        <f t="shared" si="43"/>
        <v>0</v>
      </c>
      <c r="N479" s="743"/>
      <c r="O479" s="739">
        <f t="shared" si="44"/>
        <v>0</v>
      </c>
      <c r="P479" s="739">
        <f t="shared" si="45"/>
        <v>0</v>
      </c>
      <c r="Q479" s="680"/>
    </row>
    <row r="480" spans="2:17" ht="12.75">
      <c r="B480" s="330"/>
      <c r="C480" s="735">
        <f>IF(D439="","-",+C479+1)</f>
        <v>2048</v>
      </c>
      <c r="D480" s="679">
        <f t="shared" si="46"/>
        <v>338498.0689655163</v>
      </c>
      <c r="E480" s="741">
        <f t="shared" si="47"/>
        <v>14104.086206896553</v>
      </c>
      <c r="F480" s="741">
        <f t="shared" si="40"/>
        <v>324393.9827586197</v>
      </c>
      <c r="G480" s="679">
        <f t="shared" si="41"/>
        <v>331446.025862068</v>
      </c>
      <c r="H480" s="736">
        <f>+J440*G480+E480</f>
        <v>56730.960757076056</v>
      </c>
      <c r="I480" s="742">
        <f>+J441*G480+E480</f>
        <v>56730.960757076056</v>
      </c>
      <c r="J480" s="739">
        <f t="shared" si="42"/>
        <v>0</v>
      </c>
      <c r="K480" s="739"/>
      <c r="L480" s="743"/>
      <c r="M480" s="739">
        <f t="shared" si="43"/>
        <v>0</v>
      </c>
      <c r="N480" s="743"/>
      <c r="O480" s="739">
        <f t="shared" si="44"/>
        <v>0</v>
      </c>
      <c r="P480" s="739">
        <f t="shared" si="45"/>
        <v>0</v>
      </c>
      <c r="Q480" s="680"/>
    </row>
    <row r="481" spans="2:17" ht="12.75">
      <c r="B481" s="330"/>
      <c r="C481" s="735">
        <f>IF(D439="","-",+C480+1)</f>
        <v>2049</v>
      </c>
      <c r="D481" s="679">
        <f t="shared" si="46"/>
        <v>324393.9827586197</v>
      </c>
      <c r="E481" s="741">
        <f t="shared" si="47"/>
        <v>14104.086206896553</v>
      </c>
      <c r="F481" s="741">
        <f t="shared" si="40"/>
        <v>310289.8965517231</v>
      </c>
      <c r="G481" s="679">
        <f t="shared" si="41"/>
        <v>317341.9396551714</v>
      </c>
      <c r="H481" s="736">
        <f>+J440*G481+E481</f>
        <v>54917.05120174926</v>
      </c>
      <c r="I481" s="742">
        <f>+J441*G481+E481</f>
        <v>54917.05120174926</v>
      </c>
      <c r="J481" s="739">
        <f t="shared" si="42"/>
        <v>0</v>
      </c>
      <c r="K481" s="739"/>
      <c r="L481" s="743"/>
      <c r="M481" s="739">
        <f t="shared" si="43"/>
        <v>0</v>
      </c>
      <c r="N481" s="743"/>
      <c r="O481" s="739">
        <f t="shared" si="44"/>
        <v>0</v>
      </c>
      <c r="P481" s="739">
        <f t="shared" si="45"/>
        <v>0</v>
      </c>
      <c r="Q481" s="680"/>
    </row>
    <row r="482" spans="2:17" ht="12.75">
      <c r="B482" s="330"/>
      <c r="C482" s="735">
        <f>IF(D439="","-",+C481+1)</f>
        <v>2050</v>
      </c>
      <c r="D482" s="679">
        <f t="shared" si="46"/>
        <v>310289.8965517231</v>
      </c>
      <c r="E482" s="741">
        <f t="shared" si="47"/>
        <v>14104.086206896553</v>
      </c>
      <c r="F482" s="741">
        <f t="shared" si="40"/>
        <v>296185.81034482655</v>
      </c>
      <c r="G482" s="679">
        <f t="shared" si="41"/>
        <v>303237.85344827484</v>
      </c>
      <c r="H482" s="736">
        <f>+J440*G482+E482</f>
        <v>53103.14164642246</v>
      </c>
      <c r="I482" s="742">
        <f>+J441*G482+E482</f>
        <v>53103.14164642246</v>
      </c>
      <c r="J482" s="739">
        <f t="shared" si="42"/>
        <v>0</v>
      </c>
      <c r="K482" s="739"/>
      <c r="L482" s="743"/>
      <c r="M482" s="739">
        <f t="shared" si="43"/>
        <v>0</v>
      </c>
      <c r="N482" s="743"/>
      <c r="O482" s="739">
        <f t="shared" si="44"/>
        <v>0</v>
      </c>
      <c r="P482" s="739">
        <f t="shared" si="45"/>
        <v>0</v>
      </c>
      <c r="Q482" s="680"/>
    </row>
    <row r="483" spans="2:17" ht="12.75">
      <c r="B483" s="330"/>
      <c r="C483" s="735">
        <f>IF(D439="","-",+C482+1)</f>
        <v>2051</v>
      </c>
      <c r="D483" s="679">
        <f t="shared" si="46"/>
        <v>296185.81034482655</v>
      </c>
      <c r="E483" s="741">
        <f t="shared" si="47"/>
        <v>14104.086206896553</v>
      </c>
      <c r="F483" s="741">
        <f t="shared" si="40"/>
        <v>282081.72413792997</v>
      </c>
      <c r="G483" s="679">
        <f t="shared" si="41"/>
        <v>289133.76724137826</v>
      </c>
      <c r="H483" s="736">
        <f>+J440*G483+E483</f>
        <v>51289.23209109566</v>
      </c>
      <c r="I483" s="742">
        <f>+J441*G483+E483</f>
        <v>51289.23209109566</v>
      </c>
      <c r="J483" s="739">
        <f t="shared" si="42"/>
        <v>0</v>
      </c>
      <c r="K483" s="739"/>
      <c r="L483" s="743"/>
      <c r="M483" s="739">
        <f t="shared" si="43"/>
        <v>0</v>
      </c>
      <c r="N483" s="743"/>
      <c r="O483" s="739">
        <f t="shared" si="44"/>
        <v>0</v>
      </c>
      <c r="P483" s="739">
        <f t="shared" si="45"/>
        <v>0</v>
      </c>
      <c r="Q483" s="680"/>
    </row>
    <row r="484" spans="2:17" ht="12.75">
      <c r="B484" s="330"/>
      <c r="C484" s="735">
        <f>IF(D439="","-",+C483+1)</f>
        <v>2052</v>
      </c>
      <c r="D484" s="679">
        <f t="shared" si="46"/>
        <v>282081.72413792997</v>
      </c>
      <c r="E484" s="741">
        <f t="shared" si="47"/>
        <v>14104.086206896553</v>
      </c>
      <c r="F484" s="741">
        <f t="shared" si="40"/>
        <v>267977.6379310334</v>
      </c>
      <c r="G484" s="679">
        <f t="shared" si="41"/>
        <v>275029.6810344817</v>
      </c>
      <c r="H484" s="736">
        <f>+J440*G484+E484</f>
        <v>49475.322535768864</v>
      </c>
      <c r="I484" s="742">
        <f>+J441*G484+E484</f>
        <v>49475.322535768864</v>
      </c>
      <c r="J484" s="739">
        <f t="shared" si="42"/>
        <v>0</v>
      </c>
      <c r="K484" s="739"/>
      <c r="L484" s="743"/>
      <c r="M484" s="739">
        <f t="shared" si="43"/>
        <v>0</v>
      </c>
      <c r="N484" s="743"/>
      <c r="O484" s="739">
        <f t="shared" si="44"/>
        <v>0</v>
      </c>
      <c r="P484" s="739">
        <f t="shared" si="45"/>
        <v>0</v>
      </c>
      <c r="Q484" s="680"/>
    </row>
    <row r="485" spans="2:17" ht="12.75">
      <c r="B485" s="330"/>
      <c r="C485" s="735">
        <f>IF(D439="","-",+C484+1)</f>
        <v>2053</v>
      </c>
      <c r="D485" s="679">
        <f t="shared" si="46"/>
        <v>267977.6379310334</v>
      </c>
      <c r="E485" s="741">
        <f t="shared" si="47"/>
        <v>14104.086206896553</v>
      </c>
      <c r="F485" s="741">
        <f t="shared" si="40"/>
        <v>253873.55172413684</v>
      </c>
      <c r="G485" s="679">
        <f t="shared" si="41"/>
        <v>260925.5948275851</v>
      </c>
      <c r="H485" s="736">
        <f>+J440*G485+E485</f>
        <v>47661.41298044207</v>
      </c>
      <c r="I485" s="742">
        <f>+J441*G485+E485</f>
        <v>47661.41298044207</v>
      </c>
      <c r="J485" s="739">
        <f t="shared" si="42"/>
        <v>0</v>
      </c>
      <c r="K485" s="739"/>
      <c r="L485" s="743"/>
      <c r="M485" s="739">
        <f t="shared" si="43"/>
        <v>0</v>
      </c>
      <c r="N485" s="743"/>
      <c r="O485" s="739">
        <f t="shared" si="44"/>
        <v>0</v>
      </c>
      <c r="P485" s="739">
        <f t="shared" si="45"/>
        <v>0</v>
      </c>
      <c r="Q485" s="680"/>
    </row>
    <row r="486" spans="2:17" ht="12.75">
      <c r="B486" s="330"/>
      <c r="C486" s="735">
        <f>IF(D439="","-",+C485+1)</f>
        <v>2054</v>
      </c>
      <c r="D486" s="679">
        <f t="shared" si="46"/>
        <v>253873.55172413684</v>
      </c>
      <c r="E486" s="741">
        <f t="shared" si="47"/>
        <v>14104.086206896553</v>
      </c>
      <c r="F486" s="741">
        <f t="shared" si="40"/>
        <v>239769.46551724029</v>
      </c>
      <c r="G486" s="679">
        <f t="shared" si="41"/>
        <v>246821.50862068858</v>
      </c>
      <c r="H486" s="736">
        <f>+J440*G486+E486</f>
        <v>45847.50342511528</v>
      </c>
      <c r="I486" s="742">
        <f>+J441*G486+E486</f>
        <v>45847.50342511528</v>
      </c>
      <c r="J486" s="739">
        <f t="shared" si="42"/>
        <v>0</v>
      </c>
      <c r="K486" s="739"/>
      <c r="L486" s="743"/>
      <c r="M486" s="739">
        <f t="shared" si="43"/>
        <v>0</v>
      </c>
      <c r="N486" s="743"/>
      <c r="O486" s="739">
        <f t="shared" si="44"/>
        <v>0</v>
      </c>
      <c r="P486" s="739">
        <f t="shared" si="45"/>
        <v>0</v>
      </c>
      <c r="Q486" s="680"/>
    </row>
    <row r="487" spans="2:17" ht="12.75">
      <c r="B487" s="330"/>
      <c r="C487" s="735">
        <f>IF(D439="","-",+C486+1)</f>
        <v>2055</v>
      </c>
      <c r="D487" s="679">
        <f t="shared" si="46"/>
        <v>239769.46551724029</v>
      </c>
      <c r="E487" s="741">
        <f t="shared" si="47"/>
        <v>14104.086206896553</v>
      </c>
      <c r="F487" s="741">
        <f t="shared" si="40"/>
        <v>225665.37931034373</v>
      </c>
      <c r="G487" s="679">
        <f t="shared" si="41"/>
        <v>232717.422413792</v>
      </c>
      <c r="H487" s="736">
        <f>+J440*G487+E487</f>
        <v>44033.593869788485</v>
      </c>
      <c r="I487" s="742">
        <f>+J441*G487+E487</f>
        <v>44033.593869788485</v>
      </c>
      <c r="J487" s="739">
        <f t="shared" si="42"/>
        <v>0</v>
      </c>
      <c r="K487" s="739"/>
      <c r="L487" s="743"/>
      <c r="M487" s="739">
        <f t="shared" si="43"/>
        <v>0</v>
      </c>
      <c r="N487" s="743"/>
      <c r="O487" s="739">
        <f t="shared" si="44"/>
        <v>0</v>
      </c>
      <c r="P487" s="739">
        <f t="shared" si="45"/>
        <v>0</v>
      </c>
      <c r="Q487" s="680"/>
    </row>
    <row r="488" spans="2:17" ht="12.75">
      <c r="B488" s="330"/>
      <c r="C488" s="735">
        <f>IF(D439="","-",+C487+1)</f>
        <v>2056</v>
      </c>
      <c r="D488" s="679">
        <f t="shared" si="46"/>
        <v>225665.37931034373</v>
      </c>
      <c r="E488" s="741">
        <f t="shared" si="47"/>
        <v>14104.086206896553</v>
      </c>
      <c r="F488" s="741">
        <f t="shared" si="40"/>
        <v>211561.29310344718</v>
      </c>
      <c r="G488" s="679">
        <f t="shared" si="41"/>
        <v>218613.33620689547</v>
      </c>
      <c r="H488" s="736">
        <f>+J440*G488+E488</f>
        <v>42219.6843144617</v>
      </c>
      <c r="I488" s="742">
        <f>+J441*G488+E488</f>
        <v>42219.6843144617</v>
      </c>
      <c r="J488" s="739">
        <f t="shared" si="42"/>
        <v>0</v>
      </c>
      <c r="K488" s="739"/>
      <c r="L488" s="743"/>
      <c r="M488" s="739">
        <f t="shared" si="43"/>
        <v>0</v>
      </c>
      <c r="N488" s="743"/>
      <c r="O488" s="739">
        <f t="shared" si="44"/>
        <v>0</v>
      </c>
      <c r="P488" s="739">
        <f t="shared" si="45"/>
        <v>0</v>
      </c>
      <c r="Q488" s="680"/>
    </row>
    <row r="489" spans="2:17" ht="12.75">
      <c r="B489" s="330"/>
      <c r="C489" s="735">
        <f>IF(D439="","-",+C488+1)</f>
        <v>2057</v>
      </c>
      <c r="D489" s="679">
        <f t="shared" si="46"/>
        <v>211561.29310344718</v>
      </c>
      <c r="E489" s="741">
        <f t="shared" si="47"/>
        <v>14104.086206896553</v>
      </c>
      <c r="F489" s="741">
        <f t="shared" si="40"/>
        <v>197457.20689655063</v>
      </c>
      <c r="G489" s="679">
        <f t="shared" si="41"/>
        <v>204509.2499999989</v>
      </c>
      <c r="H489" s="736">
        <f>+J440*G489+E489</f>
        <v>40405.7747591349</v>
      </c>
      <c r="I489" s="742">
        <f>+J441*G489+E489</f>
        <v>40405.7747591349</v>
      </c>
      <c r="J489" s="739">
        <f t="shared" si="42"/>
        <v>0</v>
      </c>
      <c r="K489" s="739"/>
      <c r="L489" s="743"/>
      <c r="M489" s="739">
        <f t="shared" si="43"/>
        <v>0</v>
      </c>
      <c r="N489" s="743"/>
      <c r="O489" s="739">
        <f t="shared" si="44"/>
        <v>0</v>
      </c>
      <c r="P489" s="739">
        <f t="shared" si="45"/>
        <v>0</v>
      </c>
      <c r="Q489" s="680"/>
    </row>
    <row r="490" spans="2:17" ht="12.75">
      <c r="B490" s="330"/>
      <c r="C490" s="735">
        <f>IF(D439="","-",+C489+1)</f>
        <v>2058</v>
      </c>
      <c r="D490" s="679">
        <f t="shared" si="46"/>
        <v>197457.20689655063</v>
      </c>
      <c r="E490" s="741">
        <f t="shared" si="47"/>
        <v>14104.086206896553</v>
      </c>
      <c r="F490" s="741">
        <f t="shared" si="40"/>
        <v>183353.12068965408</v>
      </c>
      <c r="G490" s="679">
        <f t="shared" si="41"/>
        <v>190405.16379310237</v>
      </c>
      <c r="H490" s="736">
        <f>+J440*G490+E490</f>
        <v>38591.86520380811</v>
      </c>
      <c r="I490" s="742">
        <f>+J441*G490+E490</f>
        <v>38591.86520380811</v>
      </c>
      <c r="J490" s="739">
        <f t="shared" si="42"/>
        <v>0</v>
      </c>
      <c r="K490" s="739"/>
      <c r="L490" s="743"/>
      <c r="M490" s="739">
        <f t="shared" si="43"/>
        <v>0</v>
      </c>
      <c r="N490" s="743"/>
      <c r="O490" s="739">
        <f t="shared" si="44"/>
        <v>0</v>
      </c>
      <c r="P490" s="739">
        <f t="shared" si="45"/>
        <v>0</v>
      </c>
      <c r="Q490" s="680"/>
    </row>
    <row r="491" spans="2:17" ht="12.75">
      <c r="B491" s="330"/>
      <c r="C491" s="735">
        <f>IF(D439="","-",+C490+1)</f>
        <v>2059</v>
      </c>
      <c r="D491" s="679">
        <f t="shared" si="46"/>
        <v>183353.12068965408</v>
      </c>
      <c r="E491" s="741">
        <f t="shared" si="47"/>
        <v>14104.086206896553</v>
      </c>
      <c r="F491" s="741">
        <f t="shared" si="40"/>
        <v>169249.03448275753</v>
      </c>
      <c r="G491" s="679">
        <f t="shared" si="41"/>
        <v>176301.0775862058</v>
      </c>
      <c r="H491" s="736">
        <f>+J440*G491+E491</f>
        <v>36777.95564848132</v>
      </c>
      <c r="I491" s="742">
        <f>+J441*G491+E491</f>
        <v>36777.95564848132</v>
      </c>
      <c r="J491" s="739">
        <f t="shared" si="42"/>
        <v>0</v>
      </c>
      <c r="K491" s="739"/>
      <c r="L491" s="743"/>
      <c r="M491" s="739">
        <f t="shared" si="43"/>
        <v>0</v>
      </c>
      <c r="N491" s="743"/>
      <c r="O491" s="739">
        <f t="shared" si="44"/>
        <v>0</v>
      </c>
      <c r="P491" s="739">
        <f t="shared" si="45"/>
        <v>0</v>
      </c>
      <c r="Q491" s="680"/>
    </row>
    <row r="492" spans="2:17" ht="12.75">
      <c r="B492" s="330"/>
      <c r="C492" s="735">
        <f>IF(D439="","-",+C491+1)</f>
        <v>2060</v>
      </c>
      <c r="D492" s="679">
        <f t="shared" si="46"/>
        <v>169249.03448275753</v>
      </c>
      <c r="E492" s="741">
        <f t="shared" si="47"/>
        <v>14104.086206896553</v>
      </c>
      <c r="F492" s="741">
        <f t="shared" si="40"/>
        <v>155144.94827586098</v>
      </c>
      <c r="G492" s="679">
        <f t="shared" si="41"/>
        <v>162196.99137930927</v>
      </c>
      <c r="H492" s="736">
        <f>+J440*G492+E492</f>
        <v>34964.04609315453</v>
      </c>
      <c r="I492" s="742">
        <f>+J441*G492+E492</f>
        <v>34964.04609315453</v>
      </c>
      <c r="J492" s="739">
        <f t="shared" si="42"/>
        <v>0</v>
      </c>
      <c r="K492" s="739"/>
      <c r="L492" s="743"/>
      <c r="M492" s="739">
        <f t="shared" si="43"/>
        <v>0</v>
      </c>
      <c r="N492" s="743"/>
      <c r="O492" s="739">
        <f t="shared" si="44"/>
        <v>0</v>
      </c>
      <c r="P492" s="739">
        <f t="shared" si="45"/>
        <v>0</v>
      </c>
      <c r="Q492" s="680"/>
    </row>
    <row r="493" spans="2:17" ht="12.75">
      <c r="B493" s="330"/>
      <c r="C493" s="735">
        <f>IF(D439="","-",+C492+1)</f>
        <v>2061</v>
      </c>
      <c r="D493" s="679">
        <f t="shared" si="46"/>
        <v>155144.94827586098</v>
      </c>
      <c r="E493" s="741">
        <f t="shared" si="47"/>
        <v>14104.086206896553</v>
      </c>
      <c r="F493" s="741">
        <f t="shared" si="40"/>
        <v>141040.86206896443</v>
      </c>
      <c r="G493" s="679">
        <f t="shared" si="41"/>
        <v>148092.9051724127</v>
      </c>
      <c r="H493" s="736">
        <f>+J440*G493+E493</f>
        <v>33150.13653782773</v>
      </c>
      <c r="I493" s="742">
        <f>+J441*G493+E493</f>
        <v>33150.13653782773</v>
      </c>
      <c r="J493" s="739">
        <f t="shared" si="42"/>
        <v>0</v>
      </c>
      <c r="K493" s="739"/>
      <c r="L493" s="743"/>
      <c r="M493" s="739">
        <f t="shared" si="43"/>
        <v>0</v>
      </c>
      <c r="N493" s="743"/>
      <c r="O493" s="739">
        <f t="shared" si="44"/>
        <v>0</v>
      </c>
      <c r="P493" s="739">
        <f t="shared" si="45"/>
        <v>0</v>
      </c>
      <c r="Q493" s="680"/>
    </row>
    <row r="494" spans="2:17" ht="12.75">
      <c r="B494" s="330"/>
      <c r="C494" s="735">
        <f>IF(D439="","-",+C493+1)</f>
        <v>2062</v>
      </c>
      <c r="D494" s="679">
        <f t="shared" si="46"/>
        <v>141040.86206896443</v>
      </c>
      <c r="E494" s="741">
        <f t="shared" si="47"/>
        <v>14104.086206896553</v>
      </c>
      <c r="F494" s="741">
        <f t="shared" si="40"/>
        <v>126936.77586206788</v>
      </c>
      <c r="G494" s="679">
        <f t="shared" si="41"/>
        <v>133988.81896551617</v>
      </c>
      <c r="H494" s="736">
        <f>+J440*G494+E494</f>
        <v>31336.226982500943</v>
      </c>
      <c r="I494" s="742">
        <f>+J441*G494+E494</f>
        <v>31336.226982500943</v>
      </c>
      <c r="J494" s="739">
        <f t="shared" si="42"/>
        <v>0</v>
      </c>
      <c r="K494" s="739"/>
      <c r="L494" s="743"/>
      <c r="M494" s="739">
        <f t="shared" si="43"/>
        <v>0</v>
      </c>
      <c r="N494" s="743"/>
      <c r="O494" s="739">
        <f t="shared" si="44"/>
        <v>0</v>
      </c>
      <c r="P494" s="739">
        <f t="shared" si="45"/>
        <v>0</v>
      </c>
      <c r="Q494" s="680"/>
    </row>
    <row r="495" spans="2:17" ht="12.75">
      <c r="B495" s="330"/>
      <c r="C495" s="735">
        <f>IF(D439="","-",+C494+1)</f>
        <v>2063</v>
      </c>
      <c r="D495" s="679">
        <f t="shared" si="46"/>
        <v>126936.77586206788</v>
      </c>
      <c r="E495" s="741">
        <f t="shared" si="47"/>
        <v>14104.086206896553</v>
      </c>
      <c r="F495" s="741">
        <f t="shared" si="40"/>
        <v>112832.68965517133</v>
      </c>
      <c r="G495" s="679">
        <f t="shared" si="41"/>
        <v>119884.7327586196</v>
      </c>
      <c r="H495" s="736">
        <f>+J440*G495+E495</f>
        <v>29522.31742717415</v>
      </c>
      <c r="I495" s="742">
        <f>+J441*G495+E495</f>
        <v>29522.31742717415</v>
      </c>
      <c r="J495" s="739">
        <f t="shared" si="42"/>
        <v>0</v>
      </c>
      <c r="K495" s="739"/>
      <c r="L495" s="743"/>
      <c r="M495" s="739">
        <f t="shared" si="43"/>
        <v>0</v>
      </c>
      <c r="N495" s="743"/>
      <c r="O495" s="739">
        <f t="shared" si="44"/>
        <v>0</v>
      </c>
      <c r="P495" s="739">
        <f t="shared" si="45"/>
        <v>0</v>
      </c>
      <c r="Q495" s="680"/>
    </row>
    <row r="496" spans="2:17" ht="12.75">
      <c r="B496" s="330"/>
      <c r="C496" s="735">
        <f>IF(D439="","-",+C495+1)</f>
        <v>2064</v>
      </c>
      <c r="D496" s="679">
        <f t="shared" si="46"/>
        <v>112832.68965517133</v>
      </c>
      <c r="E496" s="741">
        <f t="shared" si="47"/>
        <v>14104.086206896553</v>
      </c>
      <c r="F496" s="741">
        <f t="shared" si="40"/>
        <v>98728.60344827478</v>
      </c>
      <c r="G496" s="679">
        <f t="shared" si="41"/>
        <v>105780.64655172305</v>
      </c>
      <c r="H496" s="736">
        <f>+J440*G496+E496</f>
        <v>27708.407871847357</v>
      </c>
      <c r="I496" s="742">
        <f>+J441*G496+E496</f>
        <v>27708.407871847357</v>
      </c>
      <c r="J496" s="739">
        <f t="shared" si="42"/>
        <v>0</v>
      </c>
      <c r="K496" s="739"/>
      <c r="L496" s="743"/>
      <c r="M496" s="739">
        <f t="shared" si="43"/>
        <v>0</v>
      </c>
      <c r="N496" s="743"/>
      <c r="O496" s="739">
        <f t="shared" si="44"/>
        <v>0</v>
      </c>
      <c r="P496" s="739">
        <f t="shared" si="45"/>
        <v>0</v>
      </c>
      <c r="Q496" s="680"/>
    </row>
    <row r="497" spans="2:17" ht="12.75">
      <c r="B497" s="330"/>
      <c r="C497" s="735">
        <f>IF(D439="","-",+C496+1)</f>
        <v>2065</v>
      </c>
      <c r="D497" s="679">
        <f t="shared" si="46"/>
        <v>98728.60344827478</v>
      </c>
      <c r="E497" s="741">
        <f t="shared" si="47"/>
        <v>14104.086206896553</v>
      </c>
      <c r="F497" s="741">
        <f t="shared" si="40"/>
        <v>84624.51724137823</v>
      </c>
      <c r="G497" s="679">
        <f t="shared" si="41"/>
        <v>91676.5603448265</v>
      </c>
      <c r="H497" s="736">
        <f>+J440*G497+E497</f>
        <v>25894.498316520563</v>
      </c>
      <c r="I497" s="742">
        <f>+J441*G497+E497</f>
        <v>25894.498316520563</v>
      </c>
      <c r="J497" s="739">
        <f t="shared" si="42"/>
        <v>0</v>
      </c>
      <c r="K497" s="739"/>
      <c r="L497" s="743"/>
      <c r="M497" s="739">
        <f t="shared" si="43"/>
        <v>0</v>
      </c>
      <c r="N497" s="743"/>
      <c r="O497" s="739">
        <f t="shared" si="44"/>
        <v>0</v>
      </c>
      <c r="P497" s="739">
        <f t="shared" si="45"/>
        <v>0</v>
      </c>
      <c r="Q497" s="680"/>
    </row>
    <row r="498" spans="2:17" ht="12.75">
      <c r="B498" s="330"/>
      <c r="C498" s="735">
        <f>IF(D439="","-",+C497+1)</f>
        <v>2066</v>
      </c>
      <c r="D498" s="679">
        <f t="shared" si="46"/>
        <v>84624.51724137823</v>
      </c>
      <c r="E498" s="741">
        <f t="shared" si="47"/>
        <v>14104.086206896553</v>
      </c>
      <c r="F498" s="741">
        <f t="shared" si="40"/>
        <v>70520.43103448168</v>
      </c>
      <c r="G498" s="679">
        <f t="shared" si="41"/>
        <v>77572.47413792995</v>
      </c>
      <c r="H498" s="736">
        <f>+J440*G498+E498</f>
        <v>24080.588761193772</v>
      </c>
      <c r="I498" s="742">
        <f>+J441*G498+E498</f>
        <v>24080.588761193772</v>
      </c>
      <c r="J498" s="739">
        <f t="shared" si="42"/>
        <v>0</v>
      </c>
      <c r="K498" s="739"/>
      <c r="L498" s="743"/>
      <c r="M498" s="739">
        <f t="shared" si="43"/>
        <v>0</v>
      </c>
      <c r="N498" s="743"/>
      <c r="O498" s="739">
        <f t="shared" si="44"/>
        <v>0</v>
      </c>
      <c r="P498" s="739">
        <f t="shared" si="45"/>
        <v>0</v>
      </c>
      <c r="Q498" s="680"/>
    </row>
    <row r="499" spans="2:17" ht="12.75">
      <c r="B499" s="330"/>
      <c r="C499" s="735">
        <f>IF(D439="","-",+C498+1)</f>
        <v>2067</v>
      </c>
      <c r="D499" s="679">
        <f t="shared" si="46"/>
        <v>70520.43103448168</v>
      </c>
      <c r="E499" s="741">
        <f t="shared" si="47"/>
        <v>14104.086206896553</v>
      </c>
      <c r="F499" s="741">
        <f t="shared" si="40"/>
        <v>56416.344827585126</v>
      </c>
      <c r="G499" s="679">
        <f t="shared" si="41"/>
        <v>63468.3879310334</v>
      </c>
      <c r="H499" s="736">
        <f>+J440*G499+E499</f>
        <v>22266.67920586698</v>
      </c>
      <c r="I499" s="742">
        <f>+J441*G499+E499</f>
        <v>22266.67920586698</v>
      </c>
      <c r="J499" s="739">
        <f t="shared" si="42"/>
        <v>0</v>
      </c>
      <c r="K499" s="739"/>
      <c r="L499" s="743"/>
      <c r="M499" s="739">
        <f t="shared" si="43"/>
        <v>0</v>
      </c>
      <c r="N499" s="743"/>
      <c r="O499" s="739">
        <f t="shared" si="44"/>
        <v>0</v>
      </c>
      <c r="P499" s="739">
        <f t="shared" si="45"/>
        <v>0</v>
      </c>
      <c r="Q499" s="680"/>
    </row>
    <row r="500" spans="2:17" ht="12.75">
      <c r="B500" s="330"/>
      <c r="C500" s="735">
        <f>IF(D439="","-",+C499+1)</f>
        <v>2068</v>
      </c>
      <c r="D500" s="679">
        <f t="shared" si="46"/>
        <v>56416.344827585126</v>
      </c>
      <c r="E500" s="741">
        <f t="shared" si="47"/>
        <v>14104.086206896553</v>
      </c>
      <c r="F500" s="741">
        <f t="shared" si="40"/>
        <v>42312.258620688575</v>
      </c>
      <c r="G500" s="679">
        <f t="shared" si="41"/>
        <v>49364.30172413685</v>
      </c>
      <c r="H500" s="736">
        <f>+J440*G500+E500</f>
        <v>20452.769650540187</v>
      </c>
      <c r="I500" s="742">
        <f>+J441*G500+E500</f>
        <v>20452.769650540187</v>
      </c>
      <c r="J500" s="739">
        <f t="shared" si="42"/>
        <v>0</v>
      </c>
      <c r="K500" s="739"/>
      <c r="L500" s="743"/>
      <c r="M500" s="739">
        <f t="shared" si="43"/>
        <v>0</v>
      </c>
      <c r="N500" s="743"/>
      <c r="O500" s="739">
        <f t="shared" si="44"/>
        <v>0</v>
      </c>
      <c r="P500" s="739">
        <f t="shared" si="45"/>
        <v>0</v>
      </c>
      <c r="Q500" s="680"/>
    </row>
    <row r="501" spans="2:17" ht="12.75">
      <c r="B501" s="330"/>
      <c r="C501" s="735">
        <f>IF(D439="","-",+C500+1)</f>
        <v>2069</v>
      </c>
      <c r="D501" s="679">
        <f t="shared" si="46"/>
        <v>42312.258620688575</v>
      </c>
      <c r="E501" s="741">
        <f t="shared" si="47"/>
        <v>14104.086206896553</v>
      </c>
      <c r="F501" s="741">
        <f t="shared" si="40"/>
        <v>28208.172413792025</v>
      </c>
      <c r="G501" s="679">
        <f t="shared" si="41"/>
        <v>35260.2155172403</v>
      </c>
      <c r="H501" s="736">
        <f>+J440*G501+E501</f>
        <v>18638.860095213397</v>
      </c>
      <c r="I501" s="742">
        <f>+J441*G501+E501</f>
        <v>18638.860095213397</v>
      </c>
      <c r="J501" s="739">
        <f t="shared" si="42"/>
        <v>0</v>
      </c>
      <c r="K501" s="739"/>
      <c r="L501" s="743"/>
      <c r="M501" s="739">
        <f t="shared" si="43"/>
        <v>0</v>
      </c>
      <c r="N501" s="743"/>
      <c r="O501" s="739">
        <f t="shared" si="44"/>
        <v>0</v>
      </c>
      <c r="P501" s="739">
        <f t="shared" si="45"/>
        <v>0</v>
      </c>
      <c r="Q501" s="680"/>
    </row>
    <row r="502" spans="2:17" ht="12.75">
      <c r="B502" s="330"/>
      <c r="C502" s="735">
        <f>IF(D439="","-",+C501+1)</f>
        <v>2070</v>
      </c>
      <c r="D502" s="679">
        <f t="shared" si="46"/>
        <v>28208.172413792025</v>
      </c>
      <c r="E502" s="741">
        <f t="shared" si="47"/>
        <v>14104.086206896553</v>
      </c>
      <c r="F502" s="741">
        <f t="shared" si="40"/>
        <v>14104.086206895472</v>
      </c>
      <c r="G502" s="679">
        <f t="shared" si="41"/>
        <v>21156.12931034375</v>
      </c>
      <c r="H502" s="736">
        <f>+J440*G502+E502</f>
        <v>16824.950539886602</v>
      </c>
      <c r="I502" s="742">
        <f>+J441*G502+E502</f>
        <v>16824.950539886602</v>
      </c>
      <c r="J502" s="739">
        <f t="shared" si="42"/>
        <v>0</v>
      </c>
      <c r="K502" s="739"/>
      <c r="L502" s="743"/>
      <c r="M502" s="739">
        <f t="shared" si="43"/>
        <v>0</v>
      </c>
      <c r="N502" s="743"/>
      <c r="O502" s="739">
        <f t="shared" si="44"/>
        <v>0</v>
      </c>
      <c r="P502" s="739">
        <f t="shared" si="45"/>
        <v>0</v>
      </c>
      <c r="Q502" s="680"/>
    </row>
    <row r="503" spans="2:17" ht="12.75">
      <c r="B503" s="330"/>
      <c r="C503" s="735">
        <f>IF(D439="","-",+C502+1)</f>
        <v>2071</v>
      </c>
      <c r="D503" s="679">
        <f t="shared" si="46"/>
        <v>14104.086206895472</v>
      </c>
      <c r="E503" s="741">
        <f t="shared" si="47"/>
        <v>14104.086206895472</v>
      </c>
      <c r="F503" s="741">
        <f t="shared" si="40"/>
        <v>0</v>
      </c>
      <c r="G503" s="679">
        <f t="shared" si="41"/>
        <v>7052.043103447736</v>
      </c>
      <c r="H503" s="736">
        <f>+J440*G503+E503</f>
        <v>15011.040984558798</v>
      </c>
      <c r="I503" s="742">
        <f>+J441*G503+E503</f>
        <v>15011.040984558798</v>
      </c>
      <c r="J503" s="739">
        <f t="shared" si="42"/>
        <v>0</v>
      </c>
      <c r="K503" s="739"/>
      <c r="L503" s="743"/>
      <c r="M503" s="739">
        <f t="shared" si="43"/>
        <v>0</v>
      </c>
      <c r="N503" s="743"/>
      <c r="O503" s="739">
        <f t="shared" si="44"/>
        <v>0</v>
      </c>
      <c r="P503" s="739">
        <f t="shared" si="45"/>
        <v>0</v>
      </c>
      <c r="Q503" s="680"/>
    </row>
    <row r="504" spans="2:17" ht="13.5" thickBot="1">
      <c r="B504" s="330"/>
      <c r="C504" s="746">
        <f>IF(D439="","-",+C503+1)</f>
        <v>2072</v>
      </c>
      <c r="D504" s="747">
        <f t="shared" si="46"/>
        <v>0</v>
      </c>
      <c r="E504" s="741">
        <f t="shared" si="47"/>
        <v>0</v>
      </c>
      <c r="F504" s="748">
        <f t="shared" si="40"/>
        <v>0</v>
      </c>
      <c r="G504" s="747">
        <f t="shared" si="41"/>
        <v>0</v>
      </c>
      <c r="H504" s="749">
        <f>+J440*G504+E504</f>
        <v>0</v>
      </c>
      <c r="I504" s="749">
        <f>+J441*G504+E504</f>
        <v>0</v>
      </c>
      <c r="J504" s="750">
        <f t="shared" si="42"/>
        <v>0</v>
      </c>
      <c r="K504" s="739"/>
      <c r="L504" s="751"/>
      <c r="M504" s="750">
        <f t="shared" si="43"/>
        <v>0</v>
      </c>
      <c r="N504" s="751"/>
      <c r="O504" s="750">
        <f t="shared" si="44"/>
        <v>0</v>
      </c>
      <c r="P504" s="750">
        <f t="shared" si="45"/>
        <v>0</v>
      </c>
      <c r="Q504" s="680"/>
    </row>
    <row r="505" spans="2:17" ht="12.75">
      <c r="B505" s="330"/>
      <c r="C505" s="679" t="s">
        <v>290</v>
      </c>
      <c r="D505" s="675"/>
      <c r="E505" s="675">
        <f>SUM(E445:E504)</f>
        <v>818036.9999999999</v>
      </c>
      <c r="F505" s="675"/>
      <c r="G505" s="675"/>
      <c r="H505" s="675">
        <f>SUM(H445:H504)</f>
        <v>3974239.6262686136</v>
      </c>
      <c r="I505" s="675">
        <f>SUM(I445:I504)</f>
        <v>3974239.6262686136</v>
      </c>
      <c r="J505" s="675">
        <f>SUM(J445:J504)</f>
        <v>0</v>
      </c>
      <c r="K505" s="675"/>
      <c r="L505" s="675"/>
      <c r="M505" s="675"/>
      <c r="N505" s="675"/>
      <c r="O505" s="675"/>
      <c r="Q505" s="675"/>
    </row>
    <row r="506" spans="2:17" ht="12.75">
      <c r="B506" s="330"/>
      <c r="D506" s="569"/>
      <c r="E506" s="546"/>
      <c r="F506" s="546"/>
      <c r="G506" s="546"/>
      <c r="H506" s="546"/>
      <c r="I506" s="652"/>
      <c r="J506" s="652"/>
      <c r="K506" s="675"/>
      <c r="L506" s="652"/>
      <c r="M506" s="652"/>
      <c r="N506" s="652"/>
      <c r="O506" s="652"/>
      <c r="Q506" s="675"/>
    </row>
    <row r="507" spans="2:17" ht="12.75">
      <c r="B507" s="330"/>
      <c r="C507" s="546" t="s">
        <v>605</v>
      </c>
      <c r="D507" s="569"/>
      <c r="E507" s="546"/>
      <c r="F507" s="546"/>
      <c r="G507" s="546"/>
      <c r="H507" s="546"/>
      <c r="I507" s="652"/>
      <c r="J507" s="652"/>
      <c r="K507" s="675"/>
      <c r="L507" s="652"/>
      <c r="M507" s="652"/>
      <c r="N507" s="652"/>
      <c r="O507" s="652"/>
      <c r="Q507" s="675"/>
    </row>
    <row r="508" spans="2:17" ht="12.75">
      <c r="B508" s="330"/>
      <c r="D508" s="569"/>
      <c r="E508" s="546"/>
      <c r="F508" s="546"/>
      <c r="G508" s="546"/>
      <c r="H508" s="546"/>
      <c r="I508" s="652"/>
      <c r="J508" s="652"/>
      <c r="K508" s="675"/>
      <c r="L508" s="652"/>
      <c r="M508" s="652"/>
      <c r="N508" s="652"/>
      <c r="O508" s="652"/>
      <c r="Q508" s="675"/>
    </row>
    <row r="509" spans="2:17" ht="12.75">
      <c r="B509" s="330"/>
      <c r="C509" s="582" t="s">
        <v>606</v>
      </c>
      <c r="D509" s="679"/>
      <c r="E509" s="679"/>
      <c r="F509" s="679"/>
      <c r="G509" s="679"/>
      <c r="H509" s="675"/>
      <c r="I509" s="675"/>
      <c r="J509" s="680"/>
      <c r="K509" s="680"/>
      <c r="L509" s="680"/>
      <c r="M509" s="680"/>
      <c r="N509" s="680"/>
      <c r="O509" s="680"/>
      <c r="Q509" s="680"/>
    </row>
    <row r="510" spans="2:17" ht="12.75">
      <c r="B510" s="330"/>
      <c r="C510" s="582" t="s">
        <v>478</v>
      </c>
      <c r="D510" s="679"/>
      <c r="E510" s="679"/>
      <c r="F510" s="679"/>
      <c r="G510" s="679"/>
      <c r="H510" s="675"/>
      <c r="I510" s="675"/>
      <c r="J510" s="680"/>
      <c r="K510" s="680"/>
      <c r="L510" s="680"/>
      <c r="M510" s="680"/>
      <c r="N510" s="680"/>
      <c r="O510" s="680"/>
      <c r="Q510" s="680"/>
    </row>
    <row r="511" spans="2:17" ht="12.75">
      <c r="B511" s="330"/>
      <c r="C511" s="582" t="s">
        <v>291</v>
      </c>
      <c r="D511" s="679"/>
      <c r="E511" s="679"/>
      <c r="F511" s="679"/>
      <c r="G511" s="679"/>
      <c r="H511" s="675"/>
      <c r="I511" s="675"/>
      <c r="J511" s="680"/>
      <c r="K511" s="680"/>
      <c r="L511" s="680"/>
      <c r="M511" s="680"/>
      <c r="N511" s="680"/>
      <c r="O511" s="680"/>
      <c r="Q511" s="680"/>
    </row>
    <row r="512" spans="1:17" ht="20.25">
      <c r="A512" s="681" t="s">
        <v>762</v>
      </c>
      <c r="B512" s="546"/>
      <c r="C512" s="661"/>
      <c r="D512" s="569"/>
      <c r="E512" s="546"/>
      <c r="F512" s="651"/>
      <c r="G512" s="651"/>
      <c r="H512" s="546"/>
      <c r="I512" s="652"/>
      <c r="L512" s="682"/>
      <c r="M512" s="682"/>
      <c r="N512" s="682"/>
      <c r="O512" s="597" t="str">
        <f>"Page "&amp;SUM(Q$1:Q512)&amp;" of "</f>
        <v>Page 7 of </v>
      </c>
      <c r="P512" s="598">
        <f>COUNT(Q$6:Q$57776)</f>
        <v>10</v>
      </c>
      <c r="Q512" s="772">
        <v>1</v>
      </c>
    </row>
    <row r="513" spans="2:17" ht="12.75">
      <c r="B513" s="546"/>
      <c r="C513" s="546"/>
      <c r="D513" s="569"/>
      <c r="E513" s="546"/>
      <c r="F513" s="546"/>
      <c r="G513" s="546"/>
      <c r="H513" s="546"/>
      <c r="I513" s="652"/>
      <c r="J513" s="546"/>
      <c r="K513" s="594"/>
      <c r="Q513" s="594"/>
    </row>
    <row r="514" spans="2:17" ht="18">
      <c r="B514" s="601" t="s">
        <v>176</v>
      </c>
      <c r="C514" s="683" t="s">
        <v>292</v>
      </c>
      <c r="D514" s="569"/>
      <c r="E514" s="546"/>
      <c r="F514" s="546"/>
      <c r="G514" s="546"/>
      <c r="H514" s="546"/>
      <c r="I514" s="652"/>
      <c r="J514" s="652"/>
      <c r="K514" s="675"/>
      <c r="L514" s="652"/>
      <c r="M514" s="652"/>
      <c r="N514" s="652"/>
      <c r="O514" s="652"/>
      <c r="Q514" s="675"/>
    </row>
    <row r="515" spans="2:17" ht="18.75">
      <c r="B515" s="601"/>
      <c r="C515" s="600"/>
      <c r="D515" s="569"/>
      <c r="E515" s="546"/>
      <c r="F515" s="546"/>
      <c r="G515" s="546"/>
      <c r="H515" s="546"/>
      <c r="I515" s="652"/>
      <c r="J515" s="652"/>
      <c r="K515" s="675"/>
      <c r="L515" s="652"/>
      <c r="M515" s="652"/>
      <c r="N515" s="652"/>
      <c r="O515" s="652"/>
      <c r="Q515" s="675"/>
    </row>
    <row r="516" spans="2:17" ht="18.75">
      <c r="B516" s="601"/>
      <c r="C516" s="600" t="s">
        <v>293</v>
      </c>
      <c r="D516" s="569"/>
      <c r="E516" s="546"/>
      <c r="F516" s="546"/>
      <c r="G516" s="546"/>
      <c r="H516" s="546"/>
      <c r="I516" s="652"/>
      <c r="J516" s="652"/>
      <c r="K516" s="675"/>
      <c r="L516" s="652"/>
      <c r="M516" s="652"/>
      <c r="N516" s="652"/>
      <c r="O516" s="652"/>
      <c r="Q516" s="675"/>
    </row>
    <row r="517" spans="2:17" ht="15.75" thickBot="1">
      <c r="B517" s="330"/>
      <c r="C517" s="396"/>
      <c r="D517" s="569"/>
      <c r="E517" s="546"/>
      <c r="F517" s="546"/>
      <c r="G517" s="546"/>
      <c r="H517" s="546"/>
      <c r="I517" s="652"/>
      <c r="J517" s="652"/>
      <c r="K517" s="675"/>
      <c r="L517" s="652"/>
      <c r="M517" s="652"/>
      <c r="N517" s="652"/>
      <c r="O517" s="652"/>
      <c r="Q517" s="675"/>
    </row>
    <row r="518" spans="2:17" ht="15.75">
      <c r="B518" s="330"/>
      <c r="C518" s="602" t="s">
        <v>294</v>
      </c>
      <c r="D518" s="569"/>
      <c r="E518" s="546"/>
      <c r="F518" s="546"/>
      <c r="G518" s="546"/>
      <c r="H518" s="851"/>
      <c r="I518" s="546" t="s">
        <v>273</v>
      </c>
      <c r="J518" s="546"/>
      <c r="K518" s="594"/>
      <c r="L518" s="773">
        <f>+J524</f>
        <v>2017</v>
      </c>
      <c r="M518" s="755" t="s">
        <v>256</v>
      </c>
      <c r="N518" s="755" t="s">
        <v>257</v>
      </c>
      <c r="O518" s="756" t="s">
        <v>258</v>
      </c>
      <c r="Q518" s="594"/>
    </row>
    <row r="519" spans="2:17" ht="15.75">
      <c r="B519" s="330"/>
      <c r="C519" s="602"/>
      <c r="D519" s="569"/>
      <c r="E519" s="546"/>
      <c r="F519" s="546"/>
      <c r="H519" s="546"/>
      <c r="I519" s="688"/>
      <c r="J519" s="688"/>
      <c r="K519" s="689"/>
      <c r="L519" s="774" t="s">
        <v>457</v>
      </c>
      <c r="M519" s="775">
        <f>VLOOKUP(J524,C531:P590,10)</f>
        <v>1427903</v>
      </c>
      <c r="N519" s="775">
        <f>VLOOKUP(J524,C531:P590,12)</f>
        <v>1427903</v>
      </c>
      <c r="O519" s="776">
        <f>+N519-M519</f>
        <v>0</v>
      </c>
      <c r="Q519" s="689"/>
    </row>
    <row r="520" spans="2:17" ht="12.75">
      <c r="B520" s="330"/>
      <c r="C520" s="693" t="s">
        <v>295</v>
      </c>
      <c r="D520" s="1524" t="s">
        <v>974</v>
      </c>
      <c r="E520" s="1525"/>
      <c r="F520" s="1525"/>
      <c r="G520" s="1525"/>
      <c r="H520" s="1525"/>
      <c r="I520" s="1525"/>
      <c r="J520" s="652"/>
      <c r="K520" s="675"/>
      <c r="L520" s="774" t="s">
        <v>458</v>
      </c>
      <c r="M520" s="777">
        <f>VLOOKUP(J524,C531:P590,6)</f>
        <v>1393520.92715766</v>
      </c>
      <c r="N520" s="777">
        <f>VLOOKUP(J524,C531:P590,7)</f>
        <v>1393520.92715766</v>
      </c>
      <c r="O520" s="778">
        <f>+N520-M520</f>
        <v>0</v>
      </c>
      <c r="Q520" s="675"/>
    </row>
    <row r="521" spans="2:17" ht="13.5" thickBot="1">
      <c r="B521" s="330"/>
      <c r="C521" s="697"/>
      <c r="D521" s="1525"/>
      <c r="E521" s="1525"/>
      <c r="F521" s="1525"/>
      <c r="G521" s="1525"/>
      <c r="H521" s="1525"/>
      <c r="I521" s="1525"/>
      <c r="J521" s="652"/>
      <c r="K521" s="675"/>
      <c r="L521" s="718" t="s">
        <v>459</v>
      </c>
      <c r="M521" s="779">
        <f>+M520-M519</f>
        <v>-34382.072842339985</v>
      </c>
      <c r="N521" s="779">
        <f>+N520-N519</f>
        <v>-34382.072842339985</v>
      </c>
      <c r="O521" s="780">
        <f>+O520-O519</f>
        <v>0</v>
      </c>
      <c r="Q521" s="675"/>
    </row>
    <row r="522" spans="2:17" ht="13.5" thickBot="1">
      <c r="B522" s="330"/>
      <c r="C522" s="700"/>
      <c r="D522" s="701"/>
      <c r="E522" s="699"/>
      <c r="F522" s="699"/>
      <c r="G522" s="699"/>
      <c r="H522" s="699"/>
      <c r="I522" s="699"/>
      <c r="J522" s="699"/>
      <c r="K522" s="702"/>
      <c r="L522" s="699"/>
      <c r="M522" s="699"/>
      <c r="N522" s="699"/>
      <c r="O522" s="699"/>
      <c r="P522" s="582"/>
      <c r="Q522" s="702"/>
    </row>
    <row r="523" spans="2:17" ht="13.5" thickBot="1">
      <c r="B523" s="330"/>
      <c r="C523" s="704" t="s">
        <v>296</v>
      </c>
      <c r="D523" s="705"/>
      <c r="E523" s="705"/>
      <c r="F523" s="705"/>
      <c r="G523" s="705"/>
      <c r="H523" s="705"/>
      <c r="I523" s="705"/>
      <c r="J523" s="705"/>
      <c r="K523" s="707"/>
      <c r="P523" s="708"/>
      <c r="Q523" s="707"/>
    </row>
    <row r="524" spans="1:17" ht="15">
      <c r="A524" s="703"/>
      <c r="B524" s="330"/>
      <c r="C524" s="710" t="s">
        <v>274</v>
      </c>
      <c r="D524" s="1285">
        <v>9958193</v>
      </c>
      <c r="E524" s="661" t="s">
        <v>275</v>
      </c>
      <c r="H524" s="711"/>
      <c r="I524" s="711"/>
      <c r="J524" s="712">
        <v>2017</v>
      </c>
      <c r="K524" s="592"/>
      <c r="L524" s="1515" t="s">
        <v>276</v>
      </c>
      <c r="M524" s="1515"/>
      <c r="N524" s="1515"/>
      <c r="O524" s="1515"/>
      <c r="P524" s="594"/>
      <c r="Q524" s="592"/>
    </row>
    <row r="525" spans="1:17" ht="12.75">
      <c r="A525" s="703"/>
      <c r="B525" s="330"/>
      <c r="C525" s="710" t="s">
        <v>277</v>
      </c>
      <c r="D525" s="1287">
        <v>2014</v>
      </c>
      <c r="E525" s="710" t="s">
        <v>278</v>
      </c>
      <c r="F525" s="711"/>
      <c r="G525" s="711"/>
      <c r="I525" s="330"/>
      <c r="J525" s="856">
        <v>0</v>
      </c>
      <c r="K525" s="713"/>
      <c r="L525" s="675" t="s">
        <v>477</v>
      </c>
      <c r="P525" s="594"/>
      <c r="Q525" s="713"/>
    </row>
    <row r="526" spans="1:17" ht="12.75">
      <c r="A526" s="703"/>
      <c r="B526" s="330"/>
      <c r="C526" s="710" t="s">
        <v>279</v>
      </c>
      <c r="D526" s="1286">
        <v>10</v>
      </c>
      <c r="E526" s="710" t="s">
        <v>280</v>
      </c>
      <c r="F526" s="711"/>
      <c r="G526" s="711"/>
      <c r="I526" s="330"/>
      <c r="J526" s="714">
        <f>$F$68</f>
        <v>0.12860879667906705</v>
      </c>
      <c r="K526" s="715"/>
      <c r="L526" s="546" t="str">
        <f>"          INPUT TRUE-UP ARR (WITH &amp; WITHOUT INCENTIVES) FROM EACH PRIOR YEAR"</f>
        <v>          INPUT TRUE-UP ARR (WITH &amp; WITHOUT INCENTIVES) FROM EACH PRIOR YEAR</v>
      </c>
      <c r="P526" s="594"/>
      <c r="Q526" s="715"/>
    </row>
    <row r="527" spans="1:17" ht="12.75">
      <c r="A527" s="703"/>
      <c r="B527" s="330"/>
      <c r="C527" s="710" t="s">
        <v>281</v>
      </c>
      <c r="D527" s="716">
        <f>$H$77</f>
        <v>58</v>
      </c>
      <c r="E527" s="710" t="s">
        <v>282</v>
      </c>
      <c r="F527" s="711"/>
      <c r="G527" s="711"/>
      <c r="I527" s="330"/>
      <c r="J527" s="714">
        <f>IF(H518="",J526,$F$67)</f>
        <v>0.12860879667906705</v>
      </c>
      <c r="K527" s="717"/>
      <c r="L527" s="546" t="s">
        <v>364</v>
      </c>
      <c r="M527" s="717"/>
      <c r="N527" s="717"/>
      <c r="O527" s="717"/>
      <c r="P527" s="594"/>
      <c r="Q527" s="717"/>
    </row>
    <row r="528" spans="1:17" ht="13.5" thickBot="1">
      <c r="A528" s="703"/>
      <c r="B528" s="330"/>
      <c r="C528" s="710" t="s">
        <v>283</v>
      </c>
      <c r="D528" s="855" t="s">
        <v>879</v>
      </c>
      <c r="E528" s="718" t="s">
        <v>284</v>
      </c>
      <c r="F528" s="719"/>
      <c r="G528" s="719"/>
      <c r="H528" s="720"/>
      <c r="I528" s="720"/>
      <c r="J528" s="696">
        <f>IF(D524=0,0,D524/D527)</f>
        <v>171692.9827586207</v>
      </c>
      <c r="K528" s="675"/>
      <c r="L528" s="675" t="s">
        <v>365</v>
      </c>
      <c r="M528" s="675"/>
      <c r="N528" s="675"/>
      <c r="O528" s="675"/>
      <c r="P528" s="594"/>
      <c r="Q528" s="675"/>
    </row>
    <row r="529" spans="1:17" ht="38.25">
      <c r="A529" s="531"/>
      <c r="B529" s="531"/>
      <c r="C529" s="721" t="s">
        <v>274</v>
      </c>
      <c r="D529" s="722" t="s">
        <v>285</v>
      </c>
      <c r="E529" s="723" t="s">
        <v>286</v>
      </c>
      <c r="F529" s="722" t="s">
        <v>287</v>
      </c>
      <c r="G529" s="722" t="s">
        <v>460</v>
      </c>
      <c r="H529" s="723" t="s">
        <v>358</v>
      </c>
      <c r="I529" s="724" t="s">
        <v>358</v>
      </c>
      <c r="J529" s="721" t="s">
        <v>297</v>
      </c>
      <c r="K529" s="725"/>
      <c r="L529" s="723" t="s">
        <v>360</v>
      </c>
      <c r="M529" s="723" t="s">
        <v>366</v>
      </c>
      <c r="N529" s="723" t="s">
        <v>360</v>
      </c>
      <c r="O529" s="723" t="s">
        <v>368</v>
      </c>
      <c r="P529" s="723" t="s">
        <v>288</v>
      </c>
      <c r="Q529" s="727"/>
    </row>
    <row r="530" spans="2:17" ht="13.5" thickBot="1">
      <c r="B530" s="330"/>
      <c r="C530" s="728" t="s">
        <v>179</v>
      </c>
      <c r="D530" s="729" t="s">
        <v>180</v>
      </c>
      <c r="E530" s="728" t="s">
        <v>38</v>
      </c>
      <c r="F530" s="729" t="s">
        <v>180</v>
      </c>
      <c r="G530" s="729" t="s">
        <v>180</v>
      </c>
      <c r="H530" s="730" t="s">
        <v>300</v>
      </c>
      <c r="I530" s="731" t="s">
        <v>302</v>
      </c>
      <c r="J530" s="732" t="s">
        <v>391</v>
      </c>
      <c r="K530" s="733"/>
      <c r="L530" s="730" t="s">
        <v>289</v>
      </c>
      <c r="M530" s="730" t="s">
        <v>289</v>
      </c>
      <c r="N530" s="730" t="s">
        <v>469</v>
      </c>
      <c r="O530" s="730" t="s">
        <v>469</v>
      </c>
      <c r="P530" s="730" t="s">
        <v>469</v>
      </c>
      <c r="Q530" s="592"/>
    </row>
    <row r="531" spans="2:17" ht="12.75">
      <c r="B531" s="330"/>
      <c r="C531" s="735">
        <f>IF(D525="","-",D525)</f>
        <v>2014</v>
      </c>
      <c r="D531" s="679">
        <f>+D524</f>
        <v>9958193</v>
      </c>
      <c r="E531" s="736">
        <f>+J528/12*(12-D526)</f>
        <v>28615.49712643678</v>
      </c>
      <c r="F531" s="781">
        <f aca="true" t="shared" si="48" ref="F531:F590">+D531-E531</f>
        <v>9929577.502873564</v>
      </c>
      <c r="G531" s="679">
        <f aca="true" t="shared" si="49" ref="G531:G590">+(D531+F531)/2</f>
        <v>9943885.251436781</v>
      </c>
      <c r="H531" s="737">
        <f>+J526*G531+E531</f>
        <v>1307486.6136284433</v>
      </c>
      <c r="I531" s="738">
        <f>+J527*G531+E531</f>
        <v>1307486.6136284433</v>
      </c>
      <c r="J531" s="739">
        <f aca="true" t="shared" si="50" ref="J531:J590">+I531-H531</f>
        <v>0</v>
      </c>
      <c r="K531" s="739"/>
      <c r="L531" s="1284">
        <v>0</v>
      </c>
      <c r="M531" s="782">
        <f aca="true" t="shared" si="51" ref="M531:M590">IF(L531&lt;&gt;0,+H531-L531,0)</f>
        <v>0</v>
      </c>
      <c r="N531" s="1284">
        <v>0</v>
      </c>
      <c r="O531" s="782">
        <f aca="true" t="shared" si="52" ref="O531:O590">IF(N531&lt;&gt;0,+I531-N531,0)</f>
        <v>0</v>
      </c>
      <c r="P531" s="782">
        <f aca="true" t="shared" si="53" ref="P531:P590">+O531-M531</f>
        <v>0</v>
      </c>
      <c r="Q531" s="680"/>
    </row>
    <row r="532" spans="2:17" ht="12.75">
      <c r="B532" s="330"/>
      <c r="C532" s="1258">
        <f>IF(D525="","-",+C531+1)</f>
        <v>2015</v>
      </c>
      <c r="D532" s="679">
        <f aca="true" t="shared" si="54" ref="D532:D590">F531</f>
        <v>9929577.502873564</v>
      </c>
      <c r="E532" s="741">
        <f>IF(D532&gt;$J$528,$J$528,D532)</f>
        <v>171692.9827586207</v>
      </c>
      <c r="F532" s="741">
        <f t="shared" si="48"/>
        <v>9757884.520114943</v>
      </c>
      <c r="G532" s="679">
        <f t="shared" si="49"/>
        <v>9843731.011494253</v>
      </c>
      <c r="H532" s="736">
        <f>+J526*G532+E532</f>
        <v>1437683.3829793122</v>
      </c>
      <c r="I532" s="742">
        <f>+J527*G532+E532</f>
        <v>1437683.3829793122</v>
      </c>
      <c r="J532" s="739">
        <f t="shared" si="50"/>
        <v>0</v>
      </c>
      <c r="K532" s="739"/>
      <c r="L532" s="1256">
        <v>248467</v>
      </c>
      <c r="M532" s="739">
        <f t="shared" si="51"/>
        <v>1189216.3829793122</v>
      </c>
      <c r="N532" s="1256">
        <v>248467</v>
      </c>
      <c r="O532" s="739">
        <f t="shared" si="52"/>
        <v>1189216.3829793122</v>
      </c>
      <c r="P532" s="739">
        <f t="shared" si="53"/>
        <v>0</v>
      </c>
      <c r="Q532" s="680"/>
    </row>
    <row r="533" spans="2:17" ht="12.75">
      <c r="B533" s="330"/>
      <c r="C533" s="735">
        <f>IF(D525="","-",+C532+1)</f>
        <v>2016</v>
      </c>
      <c r="D533" s="679">
        <f t="shared" si="54"/>
        <v>9757884.520114943</v>
      </c>
      <c r="E533" s="741">
        <f aca="true" t="shared" si="55" ref="E533:E590">IF(D533&gt;$J$528,$J$528,D533)</f>
        <v>171692.9827586207</v>
      </c>
      <c r="F533" s="741">
        <f t="shared" si="48"/>
        <v>9586191.537356323</v>
      </c>
      <c r="G533" s="679">
        <f t="shared" si="49"/>
        <v>9672038.028735634</v>
      </c>
      <c r="H533" s="736">
        <f>+J526*G533+E533</f>
        <v>1415602.1550684865</v>
      </c>
      <c r="I533" s="742">
        <f>+J527*G533+E533</f>
        <v>1415602.1550684865</v>
      </c>
      <c r="J533" s="739">
        <f t="shared" si="50"/>
        <v>0</v>
      </c>
      <c r="K533" s="739"/>
      <c r="L533" s="1256">
        <v>562247</v>
      </c>
      <c r="M533" s="739">
        <f t="shared" si="51"/>
        <v>853355.1550684865</v>
      </c>
      <c r="N533" s="1256">
        <v>562247</v>
      </c>
      <c r="O533" s="739">
        <f t="shared" si="52"/>
        <v>853355.1550684865</v>
      </c>
      <c r="P533" s="739">
        <f t="shared" si="53"/>
        <v>0</v>
      </c>
      <c r="Q533" s="680"/>
    </row>
    <row r="534" spans="2:17" ht="12.75">
      <c r="B534" s="330"/>
      <c r="C534" s="1229">
        <f>IF(D525="","-",+C533+1)</f>
        <v>2017</v>
      </c>
      <c r="D534" s="679">
        <f t="shared" si="54"/>
        <v>9586191.537356323</v>
      </c>
      <c r="E534" s="741">
        <f t="shared" si="55"/>
        <v>171692.9827586207</v>
      </c>
      <c r="F534" s="741">
        <f t="shared" si="48"/>
        <v>9414498.554597702</v>
      </c>
      <c r="G534" s="679">
        <f t="shared" si="49"/>
        <v>9500345.045977011</v>
      </c>
      <c r="H534" s="736">
        <f>+J526*G534+E534</f>
        <v>1393520.92715766</v>
      </c>
      <c r="I534" s="742">
        <f>+J527*G534+E534</f>
        <v>1393520.92715766</v>
      </c>
      <c r="J534" s="739">
        <f t="shared" si="50"/>
        <v>0</v>
      </c>
      <c r="K534" s="739"/>
      <c r="L534" s="1256">
        <v>1427903</v>
      </c>
      <c r="M534" s="739">
        <f t="shared" si="51"/>
        <v>-34382.072842339985</v>
      </c>
      <c r="N534" s="1256">
        <v>1427903</v>
      </c>
      <c r="O534" s="739">
        <f t="shared" si="52"/>
        <v>-34382.072842339985</v>
      </c>
      <c r="P534" s="739">
        <f t="shared" si="53"/>
        <v>0</v>
      </c>
      <c r="Q534" s="680"/>
    </row>
    <row r="535" spans="2:17" ht="12.75">
      <c r="B535" s="330"/>
      <c r="C535" s="735">
        <f>IF(D525="","-",+C534+1)</f>
        <v>2018</v>
      </c>
      <c r="D535" s="679">
        <f t="shared" si="54"/>
        <v>9414498.554597702</v>
      </c>
      <c r="E535" s="741">
        <f t="shared" si="55"/>
        <v>171692.9827586207</v>
      </c>
      <c r="F535" s="741">
        <f t="shared" si="48"/>
        <v>9242805.571839081</v>
      </c>
      <c r="G535" s="679">
        <f t="shared" si="49"/>
        <v>9328652.063218392</v>
      </c>
      <c r="H535" s="736">
        <f>+J526*G535+E535</f>
        <v>1371439.6992468343</v>
      </c>
      <c r="I535" s="742">
        <f>+J527*G535+E535</f>
        <v>1371439.6992468343</v>
      </c>
      <c r="J535" s="739">
        <f t="shared" si="50"/>
        <v>0</v>
      </c>
      <c r="K535" s="739"/>
      <c r="L535" s="1256"/>
      <c r="M535" s="739">
        <f t="shared" si="51"/>
        <v>0</v>
      </c>
      <c r="N535" s="1256"/>
      <c r="O535" s="739">
        <f t="shared" si="52"/>
        <v>0</v>
      </c>
      <c r="P535" s="739">
        <f t="shared" si="53"/>
        <v>0</v>
      </c>
      <c r="Q535" s="680"/>
    </row>
    <row r="536" spans="2:17" ht="12.75">
      <c r="B536" s="330"/>
      <c r="C536" s="735">
        <f>IF(D525="","-",+C535+1)</f>
        <v>2019</v>
      </c>
      <c r="D536" s="679">
        <f t="shared" si="54"/>
        <v>9242805.571839081</v>
      </c>
      <c r="E536" s="741">
        <f t="shared" si="55"/>
        <v>171692.9827586207</v>
      </c>
      <c r="F536" s="741">
        <f t="shared" si="48"/>
        <v>9071112.58908046</v>
      </c>
      <c r="G536" s="679">
        <f t="shared" si="49"/>
        <v>9156959.08045977</v>
      </c>
      <c r="H536" s="736">
        <f>+J526*G536+E536</f>
        <v>1349358.471336008</v>
      </c>
      <c r="I536" s="742">
        <f>+J527*G536+E536</f>
        <v>1349358.471336008</v>
      </c>
      <c r="J536" s="739">
        <f t="shared" si="50"/>
        <v>0</v>
      </c>
      <c r="K536" s="739"/>
      <c r="L536" s="1256"/>
      <c r="M536" s="739">
        <f t="shared" si="51"/>
        <v>0</v>
      </c>
      <c r="N536" s="1256"/>
      <c r="O536" s="739">
        <f t="shared" si="52"/>
        <v>0</v>
      </c>
      <c r="P536" s="739">
        <f t="shared" si="53"/>
        <v>0</v>
      </c>
      <c r="Q536" s="680"/>
    </row>
    <row r="537" spans="2:17" ht="12.75">
      <c r="B537" s="330"/>
      <c r="C537" s="735">
        <f>IF(D525="","-",+C536+1)</f>
        <v>2020</v>
      </c>
      <c r="D537" s="679">
        <f t="shared" si="54"/>
        <v>9071112.58908046</v>
      </c>
      <c r="E537" s="741">
        <f t="shared" si="55"/>
        <v>171692.9827586207</v>
      </c>
      <c r="F537" s="741">
        <f t="shared" si="48"/>
        <v>8899419.60632184</v>
      </c>
      <c r="G537" s="679">
        <f t="shared" si="49"/>
        <v>8985266.09770115</v>
      </c>
      <c r="H537" s="736">
        <f>+J526*G537+E537</f>
        <v>1327277.2434251823</v>
      </c>
      <c r="I537" s="742">
        <f>+J527*G537+E537</f>
        <v>1327277.2434251823</v>
      </c>
      <c r="J537" s="739">
        <f t="shared" si="50"/>
        <v>0</v>
      </c>
      <c r="K537" s="739"/>
      <c r="L537" s="1256"/>
      <c r="M537" s="739">
        <f t="shared" si="51"/>
        <v>0</v>
      </c>
      <c r="N537" s="1256"/>
      <c r="O537" s="739">
        <f t="shared" si="52"/>
        <v>0</v>
      </c>
      <c r="P537" s="739">
        <f t="shared" si="53"/>
        <v>0</v>
      </c>
      <c r="Q537" s="680"/>
    </row>
    <row r="538" spans="2:17" ht="12.75">
      <c r="B538" s="330"/>
      <c r="C538" s="735">
        <f>IF(D525="","-",+C537+1)</f>
        <v>2021</v>
      </c>
      <c r="D538" s="679">
        <f t="shared" si="54"/>
        <v>8899419.60632184</v>
      </c>
      <c r="E538" s="741">
        <f t="shared" si="55"/>
        <v>171692.9827586207</v>
      </c>
      <c r="F538" s="741">
        <f t="shared" si="48"/>
        <v>8727726.623563219</v>
      </c>
      <c r="G538" s="679">
        <f t="shared" si="49"/>
        <v>8813573.114942528</v>
      </c>
      <c r="H538" s="736">
        <f>+J526*G538+E538</f>
        <v>1305196.015514356</v>
      </c>
      <c r="I538" s="742">
        <f>+J527*G538+E538</f>
        <v>1305196.015514356</v>
      </c>
      <c r="J538" s="739">
        <f t="shared" si="50"/>
        <v>0</v>
      </c>
      <c r="K538" s="739"/>
      <c r="L538" s="1256"/>
      <c r="M538" s="739">
        <f t="shared" si="51"/>
        <v>0</v>
      </c>
      <c r="N538" s="1256"/>
      <c r="O538" s="739">
        <f t="shared" si="52"/>
        <v>0</v>
      </c>
      <c r="P538" s="739">
        <f t="shared" si="53"/>
        <v>0</v>
      </c>
      <c r="Q538" s="680"/>
    </row>
    <row r="539" spans="2:17" ht="12.75">
      <c r="B539" s="330"/>
      <c r="C539" s="735">
        <f>IF(D525="","-",+C538+1)</f>
        <v>2022</v>
      </c>
      <c r="D539" s="679">
        <f t="shared" si="54"/>
        <v>8727726.623563219</v>
      </c>
      <c r="E539" s="741">
        <f t="shared" si="55"/>
        <v>171692.9827586207</v>
      </c>
      <c r="F539" s="741">
        <f t="shared" si="48"/>
        <v>8556033.640804598</v>
      </c>
      <c r="G539" s="679">
        <f t="shared" si="49"/>
        <v>8641880.13218391</v>
      </c>
      <c r="H539" s="736">
        <f>+J526*G539+E539</f>
        <v>1283114.7876035303</v>
      </c>
      <c r="I539" s="742">
        <f>+J527*G539+E539</f>
        <v>1283114.7876035303</v>
      </c>
      <c r="J539" s="739">
        <f t="shared" si="50"/>
        <v>0</v>
      </c>
      <c r="K539" s="739"/>
      <c r="L539" s="1256"/>
      <c r="M539" s="739">
        <f t="shared" si="51"/>
        <v>0</v>
      </c>
      <c r="N539" s="1256"/>
      <c r="O539" s="739">
        <f t="shared" si="52"/>
        <v>0</v>
      </c>
      <c r="P539" s="739">
        <f t="shared" si="53"/>
        <v>0</v>
      </c>
      <c r="Q539" s="680"/>
    </row>
    <row r="540" spans="2:17" ht="12.75">
      <c r="B540" s="330"/>
      <c r="C540" s="1258">
        <f>IF(D525="","-",+C539+1)</f>
        <v>2023</v>
      </c>
      <c r="D540" s="679">
        <f t="shared" si="54"/>
        <v>8556033.640804598</v>
      </c>
      <c r="E540" s="741">
        <f t="shared" si="55"/>
        <v>171692.9827586207</v>
      </c>
      <c r="F540" s="741">
        <f t="shared" si="48"/>
        <v>8384340.658045977</v>
      </c>
      <c r="G540" s="679">
        <f t="shared" si="49"/>
        <v>8470187.149425287</v>
      </c>
      <c r="H540" s="736">
        <f>+J526*G540+E540</f>
        <v>1261033.559692704</v>
      </c>
      <c r="I540" s="742">
        <f>+J527*G540+E540</f>
        <v>1261033.559692704</v>
      </c>
      <c r="J540" s="739">
        <f t="shared" si="50"/>
        <v>0</v>
      </c>
      <c r="K540" s="739"/>
      <c r="L540" s="1256"/>
      <c r="M540" s="739">
        <f t="shared" si="51"/>
        <v>0</v>
      </c>
      <c r="N540" s="1256"/>
      <c r="O540" s="739">
        <f t="shared" si="52"/>
        <v>0</v>
      </c>
      <c r="P540" s="739">
        <f t="shared" si="53"/>
        <v>0</v>
      </c>
      <c r="Q540" s="680"/>
    </row>
    <row r="541" spans="2:17" ht="12.75">
      <c r="B541" s="330"/>
      <c r="C541" s="735">
        <f>IF(D525="","-",+C540+1)</f>
        <v>2024</v>
      </c>
      <c r="D541" s="679">
        <f t="shared" si="54"/>
        <v>8384340.658045977</v>
      </c>
      <c r="E541" s="741">
        <f t="shared" si="55"/>
        <v>171692.9827586207</v>
      </c>
      <c r="F541" s="741">
        <f t="shared" si="48"/>
        <v>8212647.675287357</v>
      </c>
      <c r="G541" s="679">
        <f t="shared" si="49"/>
        <v>8298494.166666667</v>
      </c>
      <c r="H541" s="736">
        <f>+J526*G541+E541</f>
        <v>1238952.3317818781</v>
      </c>
      <c r="I541" s="742">
        <f>+J527*G541+E541</f>
        <v>1238952.3317818781</v>
      </c>
      <c r="J541" s="739">
        <f t="shared" si="50"/>
        <v>0</v>
      </c>
      <c r="K541" s="739"/>
      <c r="L541" s="743"/>
      <c r="M541" s="739">
        <f t="shared" si="51"/>
        <v>0</v>
      </c>
      <c r="N541" s="743"/>
      <c r="O541" s="739">
        <f t="shared" si="52"/>
        <v>0</v>
      </c>
      <c r="P541" s="739">
        <f t="shared" si="53"/>
        <v>0</v>
      </c>
      <c r="Q541" s="680"/>
    </row>
    <row r="542" spans="2:17" ht="12.75">
      <c r="B542" s="330"/>
      <c r="C542" s="735">
        <f>IF(D525="","-",+C541+1)</f>
        <v>2025</v>
      </c>
      <c r="D542" s="679">
        <f t="shared" si="54"/>
        <v>8212647.675287357</v>
      </c>
      <c r="E542" s="741">
        <f t="shared" si="55"/>
        <v>171692.9827586207</v>
      </c>
      <c r="F542" s="741">
        <f t="shared" si="48"/>
        <v>8040954.692528736</v>
      </c>
      <c r="G542" s="679">
        <f t="shared" si="49"/>
        <v>8126801.183908046</v>
      </c>
      <c r="H542" s="736">
        <f>+J526*G542+E542</f>
        <v>1216871.103871052</v>
      </c>
      <c r="I542" s="742">
        <f>+J527*G542+E542</f>
        <v>1216871.103871052</v>
      </c>
      <c r="J542" s="739">
        <f t="shared" si="50"/>
        <v>0</v>
      </c>
      <c r="K542" s="739"/>
      <c r="L542" s="743"/>
      <c r="M542" s="739">
        <f t="shared" si="51"/>
        <v>0</v>
      </c>
      <c r="N542" s="743"/>
      <c r="O542" s="739">
        <f t="shared" si="52"/>
        <v>0</v>
      </c>
      <c r="P542" s="739">
        <f t="shared" si="53"/>
        <v>0</v>
      </c>
      <c r="Q542" s="680"/>
    </row>
    <row r="543" spans="2:17" ht="12.75">
      <c r="B543" s="330"/>
      <c r="C543" s="735">
        <f>IF(D525="","-",+C542+1)</f>
        <v>2026</v>
      </c>
      <c r="D543" s="679">
        <f t="shared" si="54"/>
        <v>8040954.692528736</v>
      </c>
      <c r="E543" s="741">
        <f t="shared" si="55"/>
        <v>171692.9827586207</v>
      </c>
      <c r="F543" s="741">
        <f t="shared" si="48"/>
        <v>7869261.709770115</v>
      </c>
      <c r="G543" s="679">
        <f t="shared" si="49"/>
        <v>7955108.2011494255</v>
      </c>
      <c r="H543" s="736">
        <f>+J526*G543+E543</f>
        <v>1194789.875960226</v>
      </c>
      <c r="I543" s="742">
        <f>+J527*G543+E543</f>
        <v>1194789.875960226</v>
      </c>
      <c r="J543" s="739">
        <f t="shared" si="50"/>
        <v>0</v>
      </c>
      <c r="K543" s="739"/>
      <c r="L543" s="743"/>
      <c r="M543" s="739">
        <f t="shared" si="51"/>
        <v>0</v>
      </c>
      <c r="N543" s="743"/>
      <c r="O543" s="739">
        <f t="shared" si="52"/>
        <v>0</v>
      </c>
      <c r="P543" s="739">
        <f t="shared" si="53"/>
        <v>0</v>
      </c>
      <c r="Q543" s="680"/>
    </row>
    <row r="544" spans="2:17" ht="12.75">
      <c r="B544" s="330"/>
      <c r="C544" s="735">
        <f>IF(D525="","-",+C543+1)</f>
        <v>2027</v>
      </c>
      <c r="D544" s="679">
        <f t="shared" si="54"/>
        <v>7869261.709770115</v>
      </c>
      <c r="E544" s="741">
        <f t="shared" si="55"/>
        <v>171692.9827586207</v>
      </c>
      <c r="F544" s="741">
        <f t="shared" si="48"/>
        <v>7697568.727011494</v>
      </c>
      <c r="G544" s="679">
        <f t="shared" si="49"/>
        <v>7783415.218390805</v>
      </c>
      <c r="H544" s="736">
        <f>+J526*G544+E544</f>
        <v>1172708.6480494</v>
      </c>
      <c r="I544" s="742">
        <f>+J527*G544+E544</f>
        <v>1172708.6480494</v>
      </c>
      <c r="J544" s="739">
        <f t="shared" si="50"/>
        <v>0</v>
      </c>
      <c r="K544" s="739"/>
      <c r="L544" s="743"/>
      <c r="M544" s="739">
        <f t="shared" si="51"/>
        <v>0</v>
      </c>
      <c r="N544" s="743"/>
      <c r="O544" s="739">
        <f t="shared" si="52"/>
        <v>0</v>
      </c>
      <c r="P544" s="739">
        <f t="shared" si="53"/>
        <v>0</v>
      </c>
      <c r="Q544" s="680"/>
    </row>
    <row r="545" spans="2:17" ht="12.75">
      <c r="B545" s="330"/>
      <c r="C545" s="735">
        <f>IF(D525="","-",+C544+1)</f>
        <v>2028</v>
      </c>
      <c r="D545" s="679">
        <f t="shared" si="54"/>
        <v>7697568.727011494</v>
      </c>
      <c r="E545" s="741">
        <f t="shared" si="55"/>
        <v>171692.9827586207</v>
      </c>
      <c r="F545" s="741">
        <f t="shared" si="48"/>
        <v>7525875.744252874</v>
      </c>
      <c r="G545" s="679">
        <f t="shared" si="49"/>
        <v>7611722.235632184</v>
      </c>
      <c r="H545" s="736">
        <f>+J526*G545+E545</f>
        <v>1150627.420138574</v>
      </c>
      <c r="I545" s="742">
        <f>+J527*G545+E545</f>
        <v>1150627.420138574</v>
      </c>
      <c r="J545" s="739">
        <f t="shared" si="50"/>
        <v>0</v>
      </c>
      <c r="K545" s="739"/>
      <c r="L545" s="743"/>
      <c r="M545" s="739">
        <f t="shared" si="51"/>
        <v>0</v>
      </c>
      <c r="N545" s="743"/>
      <c r="O545" s="739">
        <f t="shared" si="52"/>
        <v>0</v>
      </c>
      <c r="P545" s="739">
        <f t="shared" si="53"/>
        <v>0</v>
      </c>
      <c r="Q545" s="680"/>
    </row>
    <row r="546" spans="2:17" ht="12.75">
      <c r="B546" s="330"/>
      <c r="C546" s="735">
        <f>IF(D525="","-",+C545+1)</f>
        <v>2029</v>
      </c>
      <c r="D546" s="679">
        <f t="shared" si="54"/>
        <v>7525875.744252874</v>
      </c>
      <c r="E546" s="741">
        <f t="shared" si="55"/>
        <v>171692.9827586207</v>
      </c>
      <c r="F546" s="741">
        <f t="shared" si="48"/>
        <v>7354182.761494253</v>
      </c>
      <c r="G546" s="679">
        <f t="shared" si="49"/>
        <v>7440029.252873563</v>
      </c>
      <c r="H546" s="736">
        <f>+J526*G546+E546</f>
        <v>1128546.192227748</v>
      </c>
      <c r="I546" s="742">
        <f>+J527*G546+E546</f>
        <v>1128546.192227748</v>
      </c>
      <c r="J546" s="739">
        <f t="shared" si="50"/>
        <v>0</v>
      </c>
      <c r="K546" s="739"/>
      <c r="L546" s="743"/>
      <c r="M546" s="739">
        <f t="shared" si="51"/>
        <v>0</v>
      </c>
      <c r="N546" s="743"/>
      <c r="O546" s="739">
        <f t="shared" si="52"/>
        <v>0</v>
      </c>
      <c r="P546" s="739">
        <f t="shared" si="53"/>
        <v>0</v>
      </c>
      <c r="Q546" s="680"/>
    </row>
    <row r="547" spans="2:17" ht="12.75">
      <c r="B547" s="330"/>
      <c r="C547" s="735">
        <f>IF(D525="","-",+C546+1)</f>
        <v>2030</v>
      </c>
      <c r="D547" s="679">
        <f t="shared" si="54"/>
        <v>7354182.761494253</v>
      </c>
      <c r="E547" s="741">
        <f t="shared" si="55"/>
        <v>171692.9827586207</v>
      </c>
      <c r="F547" s="741">
        <f t="shared" si="48"/>
        <v>7182489.778735632</v>
      </c>
      <c r="G547" s="679">
        <f t="shared" si="49"/>
        <v>7268336.270114942</v>
      </c>
      <c r="H547" s="736">
        <f>+J526*G547+E547</f>
        <v>1106464.964316922</v>
      </c>
      <c r="I547" s="742">
        <f>+J527*G547+E547</f>
        <v>1106464.964316922</v>
      </c>
      <c r="J547" s="739">
        <f t="shared" si="50"/>
        <v>0</v>
      </c>
      <c r="K547" s="739"/>
      <c r="L547" s="743"/>
      <c r="M547" s="739">
        <f t="shared" si="51"/>
        <v>0</v>
      </c>
      <c r="N547" s="743"/>
      <c r="O547" s="739">
        <f t="shared" si="52"/>
        <v>0</v>
      </c>
      <c r="P547" s="739">
        <f t="shared" si="53"/>
        <v>0</v>
      </c>
      <c r="Q547" s="680"/>
    </row>
    <row r="548" spans="2:17" ht="12.75">
      <c r="B548" s="330"/>
      <c r="C548" s="735">
        <f>IF(D525="","-",+C547+1)</f>
        <v>2031</v>
      </c>
      <c r="D548" s="679">
        <f t="shared" si="54"/>
        <v>7182489.778735632</v>
      </c>
      <c r="E548" s="741">
        <f t="shared" si="55"/>
        <v>171692.9827586207</v>
      </c>
      <c r="F548" s="741">
        <f t="shared" si="48"/>
        <v>7010796.795977011</v>
      </c>
      <c r="G548" s="679">
        <f t="shared" si="49"/>
        <v>7096643.287356322</v>
      </c>
      <c r="H548" s="736">
        <f>+J526*G548+E548</f>
        <v>1084383.7364060958</v>
      </c>
      <c r="I548" s="742">
        <f>+J527*G548+E548</f>
        <v>1084383.7364060958</v>
      </c>
      <c r="J548" s="739">
        <f t="shared" si="50"/>
        <v>0</v>
      </c>
      <c r="K548" s="739"/>
      <c r="L548" s="743"/>
      <c r="M548" s="739">
        <f t="shared" si="51"/>
        <v>0</v>
      </c>
      <c r="N548" s="743"/>
      <c r="O548" s="739">
        <f t="shared" si="52"/>
        <v>0</v>
      </c>
      <c r="P548" s="739">
        <f t="shared" si="53"/>
        <v>0</v>
      </c>
      <c r="Q548" s="680"/>
    </row>
    <row r="549" spans="2:17" ht="12.75">
      <c r="B549" s="330"/>
      <c r="C549" s="735">
        <f>IF(D525="","-",+C548+1)</f>
        <v>2032</v>
      </c>
      <c r="D549" s="679">
        <f t="shared" si="54"/>
        <v>7010796.795977011</v>
      </c>
      <c r="E549" s="741">
        <f t="shared" si="55"/>
        <v>171692.9827586207</v>
      </c>
      <c r="F549" s="741">
        <f t="shared" si="48"/>
        <v>6839103.813218391</v>
      </c>
      <c r="G549" s="679">
        <f t="shared" si="49"/>
        <v>6924950.304597701</v>
      </c>
      <c r="H549" s="736">
        <f>+J526*G549+E549</f>
        <v>1062302.5084952698</v>
      </c>
      <c r="I549" s="742">
        <f>+J527*G549+E549</f>
        <v>1062302.5084952698</v>
      </c>
      <c r="J549" s="739">
        <f t="shared" si="50"/>
        <v>0</v>
      </c>
      <c r="K549" s="739"/>
      <c r="L549" s="743"/>
      <c r="M549" s="739">
        <f t="shared" si="51"/>
        <v>0</v>
      </c>
      <c r="N549" s="743"/>
      <c r="O549" s="739">
        <f t="shared" si="52"/>
        <v>0</v>
      </c>
      <c r="P549" s="739">
        <f t="shared" si="53"/>
        <v>0</v>
      </c>
      <c r="Q549" s="680"/>
    </row>
    <row r="550" spans="2:17" ht="12.75">
      <c r="B550" s="330"/>
      <c r="C550" s="735">
        <f>IF(D525="","-",+C549+1)</f>
        <v>2033</v>
      </c>
      <c r="D550" s="679">
        <f t="shared" si="54"/>
        <v>6839103.813218391</v>
      </c>
      <c r="E550" s="741">
        <f t="shared" si="55"/>
        <v>171692.9827586207</v>
      </c>
      <c r="F550" s="741">
        <f t="shared" si="48"/>
        <v>6667410.83045977</v>
      </c>
      <c r="G550" s="679">
        <f t="shared" si="49"/>
        <v>6753257.32183908</v>
      </c>
      <c r="H550" s="736">
        <f>+J526*G550+E550</f>
        <v>1040221.2805844438</v>
      </c>
      <c r="I550" s="742">
        <f>+J527*G550+E550</f>
        <v>1040221.2805844438</v>
      </c>
      <c r="J550" s="739">
        <f t="shared" si="50"/>
        <v>0</v>
      </c>
      <c r="K550" s="739"/>
      <c r="L550" s="743"/>
      <c r="M550" s="739">
        <f t="shared" si="51"/>
        <v>0</v>
      </c>
      <c r="N550" s="743"/>
      <c r="O550" s="739">
        <f t="shared" si="52"/>
        <v>0</v>
      </c>
      <c r="P550" s="739">
        <f t="shared" si="53"/>
        <v>0</v>
      </c>
      <c r="Q550" s="680"/>
    </row>
    <row r="551" spans="2:17" ht="12.75">
      <c r="B551" s="330"/>
      <c r="C551" s="735">
        <f>IF(D525="","-",+C550+1)</f>
        <v>2034</v>
      </c>
      <c r="D551" s="679">
        <f t="shared" si="54"/>
        <v>6667410.83045977</v>
      </c>
      <c r="E551" s="741">
        <f t="shared" si="55"/>
        <v>171692.9827586207</v>
      </c>
      <c r="F551" s="741">
        <f t="shared" si="48"/>
        <v>6495717.847701149</v>
      </c>
      <c r="G551" s="679">
        <f t="shared" si="49"/>
        <v>6581564.339080459</v>
      </c>
      <c r="H551" s="736">
        <f>+J526*G551+E551</f>
        <v>1018140.0526736178</v>
      </c>
      <c r="I551" s="742">
        <f>+J527*G551+E551</f>
        <v>1018140.0526736178</v>
      </c>
      <c r="J551" s="739">
        <f t="shared" si="50"/>
        <v>0</v>
      </c>
      <c r="K551" s="739"/>
      <c r="L551" s="743"/>
      <c r="M551" s="739">
        <f t="shared" si="51"/>
        <v>0</v>
      </c>
      <c r="N551" s="743"/>
      <c r="O551" s="739">
        <f t="shared" si="52"/>
        <v>0</v>
      </c>
      <c r="P551" s="739">
        <f t="shared" si="53"/>
        <v>0</v>
      </c>
      <c r="Q551" s="680"/>
    </row>
    <row r="552" spans="2:17" ht="12.75">
      <c r="B552" s="330"/>
      <c r="C552" s="735">
        <f>IF(D525="","-",+C551+1)</f>
        <v>2035</v>
      </c>
      <c r="D552" s="679">
        <f t="shared" si="54"/>
        <v>6495717.847701149</v>
      </c>
      <c r="E552" s="741">
        <f t="shared" si="55"/>
        <v>171692.9827586207</v>
      </c>
      <c r="F552" s="741">
        <f t="shared" si="48"/>
        <v>6324024.864942528</v>
      </c>
      <c r="G552" s="679">
        <f t="shared" si="49"/>
        <v>6409871.356321839</v>
      </c>
      <c r="H552" s="736">
        <f>+J526*G552+E552</f>
        <v>996058.8247627919</v>
      </c>
      <c r="I552" s="742">
        <f>+J527*G552+E552</f>
        <v>996058.8247627919</v>
      </c>
      <c r="J552" s="739">
        <f t="shared" si="50"/>
        <v>0</v>
      </c>
      <c r="K552" s="739"/>
      <c r="L552" s="743"/>
      <c r="M552" s="739">
        <f t="shared" si="51"/>
        <v>0</v>
      </c>
      <c r="N552" s="743"/>
      <c r="O552" s="739">
        <f t="shared" si="52"/>
        <v>0</v>
      </c>
      <c r="P552" s="739">
        <f t="shared" si="53"/>
        <v>0</v>
      </c>
      <c r="Q552" s="680"/>
    </row>
    <row r="553" spans="2:17" ht="12.75">
      <c r="B553" s="330"/>
      <c r="C553" s="735">
        <f>IF(D525="","-",+C552+1)</f>
        <v>2036</v>
      </c>
      <c r="D553" s="679">
        <f t="shared" si="54"/>
        <v>6324024.864942528</v>
      </c>
      <c r="E553" s="741">
        <f t="shared" si="55"/>
        <v>171692.9827586207</v>
      </c>
      <c r="F553" s="741">
        <f t="shared" si="48"/>
        <v>6152331.882183908</v>
      </c>
      <c r="G553" s="679">
        <f t="shared" si="49"/>
        <v>6238178.373563218</v>
      </c>
      <c r="H553" s="736">
        <f>+J526*G553+E553</f>
        <v>973977.5968519659</v>
      </c>
      <c r="I553" s="742">
        <f>+J527*G553+E553</f>
        <v>973977.5968519659</v>
      </c>
      <c r="J553" s="739">
        <f t="shared" si="50"/>
        <v>0</v>
      </c>
      <c r="K553" s="739"/>
      <c r="L553" s="743"/>
      <c r="M553" s="739">
        <f t="shared" si="51"/>
        <v>0</v>
      </c>
      <c r="N553" s="743"/>
      <c r="O553" s="739">
        <f t="shared" si="52"/>
        <v>0</v>
      </c>
      <c r="P553" s="739">
        <f t="shared" si="53"/>
        <v>0</v>
      </c>
      <c r="Q553" s="680"/>
    </row>
    <row r="554" spans="2:17" ht="12.75">
      <c r="B554" s="330"/>
      <c r="C554" s="735">
        <f>IF(D525="","-",+C553+1)</f>
        <v>2037</v>
      </c>
      <c r="D554" s="679">
        <f t="shared" si="54"/>
        <v>6152331.882183908</v>
      </c>
      <c r="E554" s="741">
        <f t="shared" si="55"/>
        <v>171692.9827586207</v>
      </c>
      <c r="F554" s="741">
        <f t="shared" si="48"/>
        <v>5980638.899425287</v>
      </c>
      <c r="G554" s="679">
        <f t="shared" si="49"/>
        <v>6066485.390804597</v>
      </c>
      <c r="H554" s="736">
        <f>+J526*G554+E554</f>
        <v>951896.3689411397</v>
      </c>
      <c r="I554" s="742">
        <f>+J527*G554+E554</f>
        <v>951896.3689411397</v>
      </c>
      <c r="J554" s="739">
        <f t="shared" si="50"/>
        <v>0</v>
      </c>
      <c r="K554" s="739"/>
      <c r="L554" s="743"/>
      <c r="M554" s="739">
        <f t="shared" si="51"/>
        <v>0</v>
      </c>
      <c r="N554" s="743"/>
      <c r="O554" s="739">
        <f t="shared" si="52"/>
        <v>0</v>
      </c>
      <c r="P554" s="739">
        <f t="shared" si="53"/>
        <v>0</v>
      </c>
      <c r="Q554" s="680"/>
    </row>
    <row r="555" spans="2:17" ht="12.75">
      <c r="B555" s="330"/>
      <c r="C555" s="735">
        <f>IF(D525="","-",+C554+1)</f>
        <v>2038</v>
      </c>
      <c r="D555" s="679">
        <f t="shared" si="54"/>
        <v>5980638.899425287</v>
      </c>
      <c r="E555" s="741">
        <f t="shared" si="55"/>
        <v>171692.9827586207</v>
      </c>
      <c r="F555" s="741">
        <f t="shared" si="48"/>
        <v>5808945.916666666</v>
      </c>
      <c r="G555" s="679">
        <f t="shared" si="49"/>
        <v>5894792.408045976</v>
      </c>
      <c r="H555" s="736">
        <f>+J526*G555+E555</f>
        <v>929815.1410303137</v>
      </c>
      <c r="I555" s="742">
        <f>+J527*G555+E555</f>
        <v>929815.1410303137</v>
      </c>
      <c r="J555" s="739">
        <f t="shared" si="50"/>
        <v>0</v>
      </c>
      <c r="K555" s="739"/>
      <c r="L555" s="743"/>
      <c r="M555" s="739">
        <f t="shared" si="51"/>
        <v>0</v>
      </c>
      <c r="N555" s="743"/>
      <c r="O555" s="739">
        <f t="shared" si="52"/>
        <v>0</v>
      </c>
      <c r="P555" s="739">
        <f t="shared" si="53"/>
        <v>0</v>
      </c>
      <c r="Q555" s="680"/>
    </row>
    <row r="556" spans="2:17" ht="12.75">
      <c r="B556" s="330"/>
      <c r="C556" s="735">
        <f>IF(D525="","-",+C555+1)</f>
        <v>2039</v>
      </c>
      <c r="D556" s="679">
        <f t="shared" si="54"/>
        <v>5808945.916666666</v>
      </c>
      <c r="E556" s="741">
        <f t="shared" si="55"/>
        <v>171692.9827586207</v>
      </c>
      <c r="F556" s="741">
        <f t="shared" si="48"/>
        <v>5637252.933908045</v>
      </c>
      <c r="G556" s="679">
        <f t="shared" si="49"/>
        <v>5723099.425287356</v>
      </c>
      <c r="H556" s="736">
        <f>+J526*G556+E556</f>
        <v>907733.9131194877</v>
      </c>
      <c r="I556" s="742">
        <f>+J527*G556+E556</f>
        <v>907733.9131194877</v>
      </c>
      <c r="J556" s="739">
        <f t="shared" si="50"/>
        <v>0</v>
      </c>
      <c r="K556" s="739"/>
      <c r="L556" s="743"/>
      <c r="M556" s="739">
        <f t="shared" si="51"/>
        <v>0</v>
      </c>
      <c r="N556" s="743"/>
      <c r="O556" s="739">
        <f t="shared" si="52"/>
        <v>0</v>
      </c>
      <c r="P556" s="739">
        <f t="shared" si="53"/>
        <v>0</v>
      </c>
      <c r="Q556" s="680"/>
    </row>
    <row r="557" spans="2:17" ht="12.75">
      <c r="B557" s="330"/>
      <c r="C557" s="735">
        <f>IF(D525="","-",+C556+1)</f>
        <v>2040</v>
      </c>
      <c r="D557" s="679">
        <f t="shared" si="54"/>
        <v>5637252.933908045</v>
      </c>
      <c r="E557" s="741">
        <f t="shared" si="55"/>
        <v>171692.9827586207</v>
      </c>
      <c r="F557" s="741">
        <f t="shared" si="48"/>
        <v>5465559.951149425</v>
      </c>
      <c r="G557" s="679">
        <f t="shared" si="49"/>
        <v>5551406.442528735</v>
      </c>
      <c r="H557" s="736">
        <f>+J526*G557+E557</f>
        <v>885652.6852086617</v>
      </c>
      <c r="I557" s="742">
        <f>+J527*G557+E557</f>
        <v>885652.6852086617</v>
      </c>
      <c r="J557" s="739">
        <f t="shared" si="50"/>
        <v>0</v>
      </c>
      <c r="K557" s="739"/>
      <c r="L557" s="743"/>
      <c r="M557" s="739">
        <f t="shared" si="51"/>
        <v>0</v>
      </c>
      <c r="N557" s="743"/>
      <c r="O557" s="739">
        <f t="shared" si="52"/>
        <v>0</v>
      </c>
      <c r="P557" s="739">
        <f t="shared" si="53"/>
        <v>0</v>
      </c>
      <c r="Q557" s="680"/>
    </row>
    <row r="558" spans="2:17" ht="12.75">
      <c r="B558" s="330"/>
      <c r="C558" s="735">
        <f>IF(D525="","-",+C557+1)</f>
        <v>2041</v>
      </c>
      <c r="D558" s="679">
        <f t="shared" si="54"/>
        <v>5465559.951149425</v>
      </c>
      <c r="E558" s="741">
        <f t="shared" si="55"/>
        <v>171692.9827586207</v>
      </c>
      <c r="F558" s="741">
        <f t="shared" si="48"/>
        <v>5293866.968390804</v>
      </c>
      <c r="G558" s="679">
        <f t="shared" si="49"/>
        <v>5379713.459770114</v>
      </c>
      <c r="H558" s="736">
        <f>+J526*G558+E558</f>
        <v>863571.4572978357</v>
      </c>
      <c r="I558" s="742">
        <f>+J527*G558+E558</f>
        <v>863571.4572978357</v>
      </c>
      <c r="J558" s="739">
        <f t="shared" si="50"/>
        <v>0</v>
      </c>
      <c r="K558" s="739"/>
      <c r="L558" s="743"/>
      <c r="M558" s="739">
        <f t="shared" si="51"/>
        <v>0</v>
      </c>
      <c r="N558" s="743"/>
      <c r="O558" s="739">
        <f t="shared" si="52"/>
        <v>0</v>
      </c>
      <c r="P558" s="739">
        <f t="shared" si="53"/>
        <v>0</v>
      </c>
      <c r="Q558" s="680"/>
    </row>
    <row r="559" spans="2:17" ht="12.75">
      <c r="B559" s="330"/>
      <c r="C559" s="735">
        <f>IF(D525="","-",+C558+1)</f>
        <v>2042</v>
      </c>
      <c r="D559" s="679">
        <f t="shared" si="54"/>
        <v>5293866.968390804</v>
      </c>
      <c r="E559" s="741">
        <f t="shared" si="55"/>
        <v>171692.9827586207</v>
      </c>
      <c r="F559" s="741">
        <f t="shared" si="48"/>
        <v>5122173.985632183</v>
      </c>
      <c r="G559" s="679">
        <f t="shared" si="49"/>
        <v>5208020.477011493</v>
      </c>
      <c r="H559" s="736">
        <f>+J526*G559+E559</f>
        <v>841490.2293870097</v>
      </c>
      <c r="I559" s="742">
        <f>+J527*G559+E559</f>
        <v>841490.2293870097</v>
      </c>
      <c r="J559" s="739">
        <f t="shared" si="50"/>
        <v>0</v>
      </c>
      <c r="K559" s="739"/>
      <c r="L559" s="743"/>
      <c r="M559" s="739">
        <f t="shared" si="51"/>
        <v>0</v>
      </c>
      <c r="N559" s="743"/>
      <c r="O559" s="739">
        <f t="shared" si="52"/>
        <v>0</v>
      </c>
      <c r="P559" s="739">
        <f t="shared" si="53"/>
        <v>0</v>
      </c>
      <c r="Q559" s="680"/>
    </row>
    <row r="560" spans="2:17" ht="12.75">
      <c r="B560" s="330"/>
      <c r="C560" s="735">
        <f>IF(D525="","-",+C559+1)</f>
        <v>2043</v>
      </c>
      <c r="D560" s="679">
        <f t="shared" si="54"/>
        <v>5122173.985632183</v>
      </c>
      <c r="E560" s="741">
        <f t="shared" si="55"/>
        <v>171692.9827586207</v>
      </c>
      <c r="F560" s="741">
        <f t="shared" si="48"/>
        <v>4950481.002873562</v>
      </c>
      <c r="G560" s="679">
        <f t="shared" si="49"/>
        <v>5036327.494252873</v>
      </c>
      <c r="H560" s="736">
        <f>+J526*G560+E560</f>
        <v>819409.0014761835</v>
      </c>
      <c r="I560" s="742">
        <f>+J527*G560+E560</f>
        <v>819409.0014761835</v>
      </c>
      <c r="J560" s="739">
        <f t="shared" si="50"/>
        <v>0</v>
      </c>
      <c r="K560" s="739"/>
      <c r="L560" s="743"/>
      <c r="M560" s="739">
        <f t="shared" si="51"/>
        <v>0</v>
      </c>
      <c r="N560" s="743"/>
      <c r="O560" s="739">
        <f t="shared" si="52"/>
        <v>0</v>
      </c>
      <c r="P560" s="739">
        <f t="shared" si="53"/>
        <v>0</v>
      </c>
      <c r="Q560" s="680"/>
    </row>
    <row r="561" spans="2:17" ht="12.75">
      <c r="B561" s="330"/>
      <c r="C561" s="735">
        <f>IF(D525="","-",+C560+1)</f>
        <v>2044</v>
      </c>
      <c r="D561" s="679">
        <f t="shared" si="54"/>
        <v>4950481.002873562</v>
      </c>
      <c r="E561" s="741">
        <f t="shared" si="55"/>
        <v>171692.9827586207</v>
      </c>
      <c r="F561" s="741">
        <f t="shared" si="48"/>
        <v>4778788.0201149415</v>
      </c>
      <c r="G561" s="679">
        <f t="shared" si="49"/>
        <v>4864634.511494252</v>
      </c>
      <c r="H561" s="736">
        <f>+J526*G561+E561</f>
        <v>797327.7735653576</v>
      </c>
      <c r="I561" s="742">
        <f>+J527*G561+E561</f>
        <v>797327.7735653576</v>
      </c>
      <c r="J561" s="739">
        <f t="shared" si="50"/>
        <v>0</v>
      </c>
      <c r="K561" s="739"/>
      <c r="L561" s="743"/>
      <c r="M561" s="739">
        <f t="shared" si="51"/>
        <v>0</v>
      </c>
      <c r="N561" s="743"/>
      <c r="O561" s="739">
        <f t="shared" si="52"/>
        <v>0</v>
      </c>
      <c r="P561" s="739">
        <f t="shared" si="53"/>
        <v>0</v>
      </c>
      <c r="Q561" s="680"/>
    </row>
    <row r="562" spans="2:17" ht="12.75">
      <c r="B562" s="330"/>
      <c r="C562" s="735">
        <f>IF(D525="","-",+C561+1)</f>
        <v>2045</v>
      </c>
      <c r="D562" s="679">
        <f t="shared" si="54"/>
        <v>4778788.0201149415</v>
      </c>
      <c r="E562" s="741">
        <f t="shared" si="55"/>
        <v>171692.9827586207</v>
      </c>
      <c r="F562" s="741">
        <f t="shared" si="48"/>
        <v>4607095.037356321</v>
      </c>
      <c r="G562" s="679">
        <f t="shared" si="49"/>
        <v>4692941.528735631</v>
      </c>
      <c r="H562" s="736">
        <f>+J526*G562+E562</f>
        <v>775246.5456545316</v>
      </c>
      <c r="I562" s="742">
        <f>+J527*G562+E562</f>
        <v>775246.5456545316</v>
      </c>
      <c r="J562" s="739">
        <f t="shared" si="50"/>
        <v>0</v>
      </c>
      <c r="K562" s="739"/>
      <c r="L562" s="743"/>
      <c r="M562" s="739">
        <f t="shared" si="51"/>
        <v>0</v>
      </c>
      <c r="N562" s="743"/>
      <c r="O562" s="739">
        <f t="shared" si="52"/>
        <v>0</v>
      </c>
      <c r="P562" s="739">
        <f t="shared" si="53"/>
        <v>0</v>
      </c>
      <c r="Q562" s="680"/>
    </row>
    <row r="563" spans="2:17" ht="12.75">
      <c r="B563" s="330"/>
      <c r="C563" s="735">
        <f>IF(D525="","-",+C562+1)</f>
        <v>2046</v>
      </c>
      <c r="D563" s="679">
        <f t="shared" si="54"/>
        <v>4607095.037356321</v>
      </c>
      <c r="E563" s="741">
        <f t="shared" si="55"/>
        <v>171692.9827586207</v>
      </c>
      <c r="F563" s="741">
        <f t="shared" si="48"/>
        <v>4435402.0545977</v>
      </c>
      <c r="G563" s="679">
        <f t="shared" si="49"/>
        <v>4521248.54597701</v>
      </c>
      <c r="H563" s="736">
        <f>+J526*G563+E563</f>
        <v>753165.3177437056</v>
      </c>
      <c r="I563" s="742">
        <f>+J527*G563+E563</f>
        <v>753165.3177437056</v>
      </c>
      <c r="J563" s="739">
        <f t="shared" si="50"/>
        <v>0</v>
      </c>
      <c r="K563" s="739"/>
      <c r="L563" s="743"/>
      <c r="M563" s="739">
        <f t="shared" si="51"/>
        <v>0</v>
      </c>
      <c r="N563" s="743"/>
      <c r="O563" s="739">
        <f t="shared" si="52"/>
        <v>0</v>
      </c>
      <c r="P563" s="739">
        <f t="shared" si="53"/>
        <v>0</v>
      </c>
      <c r="Q563" s="680"/>
    </row>
    <row r="564" spans="2:17" ht="12.75">
      <c r="B564" s="330"/>
      <c r="C564" s="735">
        <f>IF(D525="","-",+C563+1)</f>
        <v>2047</v>
      </c>
      <c r="D564" s="679">
        <f t="shared" si="54"/>
        <v>4435402.0545977</v>
      </c>
      <c r="E564" s="741">
        <f t="shared" si="55"/>
        <v>171692.9827586207</v>
      </c>
      <c r="F564" s="741">
        <f t="shared" si="48"/>
        <v>4263709.071839079</v>
      </c>
      <c r="G564" s="679">
        <f t="shared" si="49"/>
        <v>4349555.56321839</v>
      </c>
      <c r="H564" s="736">
        <f>+J526*G564+E564</f>
        <v>731084.0898328796</v>
      </c>
      <c r="I564" s="742">
        <f>+J527*G564+E564</f>
        <v>731084.0898328796</v>
      </c>
      <c r="J564" s="739">
        <f t="shared" si="50"/>
        <v>0</v>
      </c>
      <c r="K564" s="739"/>
      <c r="L564" s="743"/>
      <c r="M564" s="739">
        <f t="shared" si="51"/>
        <v>0</v>
      </c>
      <c r="N564" s="743"/>
      <c r="O564" s="739">
        <f t="shared" si="52"/>
        <v>0</v>
      </c>
      <c r="P564" s="739">
        <f t="shared" si="53"/>
        <v>0</v>
      </c>
      <c r="Q564" s="680"/>
    </row>
    <row r="565" spans="2:17" ht="12.75">
      <c r="B565" s="330"/>
      <c r="C565" s="735">
        <f>IF(D525="","-",+C564+1)</f>
        <v>2048</v>
      </c>
      <c r="D565" s="679">
        <f t="shared" si="54"/>
        <v>4263709.071839079</v>
      </c>
      <c r="E565" s="741">
        <f t="shared" si="55"/>
        <v>171692.9827586207</v>
      </c>
      <c r="F565" s="741">
        <f t="shared" si="48"/>
        <v>4092016.0890804585</v>
      </c>
      <c r="G565" s="679">
        <f t="shared" si="49"/>
        <v>4177862.580459769</v>
      </c>
      <c r="H565" s="736">
        <f>+J526*G565+E565</f>
        <v>709002.8619220536</v>
      </c>
      <c r="I565" s="742">
        <f>+J527*G565+E565</f>
        <v>709002.8619220536</v>
      </c>
      <c r="J565" s="739">
        <f t="shared" si="50"/>
        <v>0</v>
      </c>
      <c r="K565" s="739"/>
      <c r="L565" s="743"/>
      <c r="M565" s="739">
        <f t="shared" si="51"/>
        <v>0</v>
      </c>
      <c r="N565" s="743"/>
      <c r="O565" s="739">
        <f t="shared" si="52"/>
        <v>0</v>
      </c>
      <c r="P565" s="739">
        <f t="shared" si="53"/>
        <v>0</v>
      </c>
      <c r="Q565" s="680"/>
    </row>
    <row r="566" spans="2:17" ht="12.75">
      <c r="B566" s="330"/>
      <c r="C566" s="735">
        <f>IF(D525="","-",+C565+1)</f>
        <v>2049</v>
      </c>
      <c r="D566" s="679">
        <f t="shared" si="54"/>
        <v>4092016.0890804585</v>
      </c>
      <c r="E566" s="741">
        <f t="shared" si="55"/>
        <v>171692.9827586207</v>
      </c>
      <c r="F566" s="741">
        <f t="shared" si="48"/>
        <v>3920323.1063218378</v>
      </c>
      <c r="G566" s="679">
        <f t="shared" si="49"/>
        <v>4006169.597701148</v>
      </c>
      <c r="H566" s="736">
        <f>+J526*G566+E566</f>
        <v>686921.6340112275</v>
      </c>
      <c r="I566" s="742">
        <f>+J527*G566+E566</f>
        <v>686921.6340112275</v>
      </c>
      <c r="J566" s="739">
        <f t="shared" si="50"/>
        <v>0</v>
      </c>
      <c r="K566" s="739"/>
      <c r="L566" s="743"/>
      <c r="M566" s="739">
        <f t="shared" si="51"/>
        <v>0</v>
      </c>
      <c r="N566" s="743"/>
      <c r="O566" s="739">
        <f t="shared" si="52"/>
        <v>0</v>
      </c>
      <c r="P566" s="739">
        <f t="shared" si="53"/>
        <v>0</v>
      </c>
      <c r="Q566" s="680"/>
    </row>
    <row r="567" spans="2:17" ht="12.75">
      <c r="B567" s="330"/>
      <c r="C567" s="735">
        <f>IF(D525="","-",+C566+1)</f>
        <v>2050</v>
      </c>
      <c r="D567" s="679">
        <f t="shared" si="54"/>
        <v>3920323.1063218378</v>
      </c>
      <c r="E567" s="741">
        <f t="shared" si="55"/>
        <v>171692.9827586207</v>
      </c>
      <c r="F567" s="741">
        <f t="shared" si="48"/>
        <v>3748630.123563217</v>
      </c>
      <c r="G567" s="679">
        <f t="shared" si="49"/>
        <v>3834476.6149425274</v>
      </c>
      <c r="H567" s="736">
        <f>+J526*G567+E567</f>
        <v>664840.4061004014</v>
      </c>
      <c r="I567" s="742">
        <f>+J527*G567+E567</f>
        <v>664840.4061004014</v>
      </c>
      <c r="J567" s="739">
        <f t="shared" si="50"/>
        <v>0</v>
      </c>
      <c r="K567" s="739"/>
      <c r="L567" s="743"/>
      <c r="M567" s="739">
        <f t="shared" si="51"/>
        <v>0</v>
      </c>
      <c r="N567" s="743"/>
      <c r="O567" s="739">
        <f t="shared" si="52"/>
        <v>0</v>
      </c>
      <c r="P567" s="739">
        <f t="shared" si="53"/>
        <v>0</v>
      </c>
      <c r="Q567" s="680"/>
    </row>
    <row r="568" spans="2:17" ht="12.75">
      <c r="B568" s="330"/>
      <c r="C568" s="735">
        <f>IF(D525="","-",+C567+1)</f>
        <v>2051</v>
      </c>
      <c r="D568" s="679">
        <f t="shared" si="54"/>
        <v>3748630.123563217</v>
      </c>
      <c r="E568" s="741">
        <f t="shared" si="55"/>
        <v>171692.9827586207</v>
      </c>
      <c r="F568" s="741">
        <f t="shared" si="48"/>
        <v>3576937.1408045962</v>
      </c>
      <c r="G568" s="679">
        <f t="shared" si="49"/>
        <v>3662783.6321839066</v>
      </c>
      <c r="H568" s="736">
        <f>+J526*G568+E568</f>
        <v>642759.1781895754</v>
      </c>
      <c r="I568" s="742">
        <f>+J527*G568+E568</f>
        <v>642759.1781895754</v>
      </c>
      <c r="J568" s="739">
        <f t="shared" si="50"/>
        <v>0</v>
      </c>
      <c r="K568" s="739"/>
      <c r="L568" s="743"/>
      <c r="M568" s="739">
        <f t="shared" si="51"/>
        <v>0</v>
      </c>
      <c r="N568" s="743"/>
      <c r="O568" s="739">
        <f t="shared" si="52"/>
        <v>0</v>
      </c>
      <c r="P568" s="739">
        <f t="shared" si="53"/>
        <v>0</v>
      </c>
      <c r="Q568" s="680"/>
    </row>
    <row r="569" spans="2:17" ht="12.75">
      <c r="B569" s="330"/>
      <c r="C569" s="735">
        <f>IF(D525="","-",+C568+1)</f>
        <v>2052</v>
      </c>
      <c r="D569" s="679">
        <f t="shared" si="54"/>
        <v>3576937.1408045962</v>
      </c>
      <c r="E569" s="741">
        <f t="shared" si="55"/>
        <v>171692.9827586207</v>
      </c>
      <c r="F569" s="741">
        <f t="shared" si="48"/>
        <v>3405244.1580459755</v>
      </c>
      <c r="G569" s="679">
        <f t="shared" si="49"/>
        <v>3491090.649425286</v>
      </c>
      <c r="H569" s="736">
        <f>+J526*G569+E569</f>
        <v>620677.9502787495</v>
      </c>
      <c r="I569" s="742">
        <f>+J527*G569+E569</f>
        <v>620677.9502787495</v>
      </c>
      <c r="J569" s="739">
        <f t="shared" si="50"/>
        <v>0</v>
      </c>
      <c r="K569" s="739"/>
      <c r="L569" s="743"/>
      <c r="M569" s="739">
        <f t="shared" si="51"/>
        <v>0</v>
      </c>
      <c r="N569" s="743"/>
      <c r="O569" s="739">
        <f t="shared" si="52"/>
        <v>0</v>
      </c>
      <c r="P569" s="739">
        <f t="shared" si="53"/>
        <v>0</v>
      </c>
      <c r="Q569" s="680"/>
    </row>
    <row r="570" spans="2:17" ht="12.75">
      <c r="B570" s="330"/>
      <c r="C570" s="735">
        <f>IF(D525="","-",+C569+1)</f>
        <v>2053</v>
      </c>
      <c r="D570" s="679">
        <f t="shared" si="54"/>
        <v>3405244.1580459755</v>
      </c>
      <c r="E570" s="741">
        <f t="shared" si="55"/>
        <v>171692.9827586207</v>
      </c>
      <c r="F570" s="741">
        <f t="shared" si="48"/>
        <v>3233551.1752873547</v>
      </c>
      <c r="G570" s="679">
        <f t="shared" si="49"/>
        <v>3319397.666666665</v>
      </c>
      <c r="H570" s="736">
        <f>+J526*G570+E570</f>
        <v>598596.7223679235</v>
      </c>
      <c r="I570" s="742">
        <f>+J527*G570+E570</f>
        <v>598596.7223679235</v>
      </c>
      <c r="J570" s="739">
        <f t="shared" si="50"/>
        <v>0</v>
      </c>
      <c r="K570" s="739"/>
      <c r="L570" s="743"/>
      <c r="M570" s="739">
        <f t="shared" si="51"/>
        <v>0</v>
      </c>
      <c r="N570" s="743"/>
      <c r="O570" s="739">
        <f t="shared" si="52"/>
        <v>0</v>
      </c>
      <c r="P570" s="739">
        <f t="shared" si="53"/>
        <v>0</v>
      </c>
      <c r="Q570" s="680"/>
    </row>
    <row r="571" spans="2:17" ht="12.75">
      <c r="B571" s="330"/>
      <c r="C571" s="735">
        <f>IF(D525="","-",+C570+1)</f>
        <v>2054</v>
      </c>
      <c r="D571" s="679">
        <f t="shared" si="54"/>
        <v>3233551.1752873547</v>
      </c>
      <c r="E571" s="741">
        <f t="shared" si="55"/>
        <v>171692.9827586207</v>
      </c>
      <c r="F571" s="741">
        <f t="shared" si="48"/>
        <v>3061858.192528734</v>
      </c>
      <c r="G571" s="679">
        <f t="shared" si="49"/>
        <v>3147704.6839080444</v>
      </c>
      <c r="H571" s="736">
        <f>+J526*G571+E571</f>
        <v>576515.4944570974</v>
      </c>
      <c r="I571" s="742">
        <f>+J527*G571+E571</f>
        <v>576515.4944570974</v>
      </c>
      <c r="J571" s="739">
        <f t="shared" si="50"/>
        <v>0</v>
      </c>
      <c r="K571" s="739"/>
      <c r="L571" s="743"/>
      <c r="M571" s="739">
        <f t="shared" si="51"/>
        <v>0</v>
      </c>
      <c r="N571" s="743"/>
      <c r="O571" s="739">
        <f t="shared" si="52"/>
        <v>0</v>
      </c>
      <c r="P571" s="739">
        <f t="shared" si="53"/>
        <v>0</v>
      </c>
      <c r="Q571" s="680"/>
    </row>
    <row r="572" spans="2:17" ht="12.75">
      <c r="B572" s="330"/>
      <c r="C572" s="735">
        <f>IF(D525="","-",+C571+1)</f>
        <v>2055</v>
      </c>
      <c r="D572" s="679">
        <f t="shared" si="54"/>
        <v>3061858.192528734</v>
      </c>
      <c r="E572" s="741">
        <f t="shared" si="55"/>
        <v>171692.9827586207</v>
      </c>
      <c r="F572" s="741">
        <f t="shared" si="48"/>
        <v>2890165.209770113</v>
      </c>
      <c r="G572" s="679">
        <f t="shared" si="49"/>
        <v>2976011.7011494236</v>
      </c>
      <c r="H572" s="736">
        <f>+J526*G572+E572</f>
        <v>554434.2665462714</v>
      </c>
      <c r="I572" s="742">
        <f>+J527*G572+E572</f>
        <v>554434.2665462714</v>
      </c>
      <c r="J572" s="739">
        <f t="shared" si="50"/>
        <v>0</v>
      </c>
      <c r="K572" s="739"/>
      <c r="L572" s="743"/>
      <c r="M572" s="739">
        <f t="shared" si="51"/>
        <v>0</v>
      </c>
      <c r="N572" s="743"/>
      <c r="O572" s="739">
        <f t="shared" si="52"/>
        <v>0</v>
      </c>
      <c r="P572" s="739">
        <f t="shared" si="53"/>
        <v>0</v>
      </c>
      <c r="Q572" s="680"/>
    </row>
    <row r="573" spans="2:17" ht="12.75">
      <c r="B573" s="330"/>
      <c r="C573" s="735">
        <f>IF(D525="","-",+C572+1)</f>
        <v>2056</v>
      </c>
      <c r="D573" s="679">
        <f t="shared" si="54"/>
        <v>2890165.209770113</v>
      </c>
      <c r="E573" s="741">
        <f t="shared" si="55"/>
        <v>171692.9827586207</v>
      </c>
      <c r="F573" s="741">
        <f t="shared" si="48"/>
        <v>2718472.2270114925</v>
      </c>
      <c r="G573" s="679">
        <f t="shared" si="49"/>
        <v>2804318.718390803</v>
      </c>
      <c r="H573" s="736">
        <f>+J526*G573+E573</f>
        <v>532353.0386354453</v>
      </c>
      <c r="I573" s="742">
        <f>+J527*G573+E573</f>
        <v>532353.0386354453</v>
      </c>
      <c r="J573" s="739">
        <f t="shared" si="50"/>
        <v>0</v>
      </c>
      <c r="K573" s="739"/>
      <c r="L573" s="743"/>
      <c r="M573" s="739">
        <f t="shared" si="51"/>
        <v>0</v>
      </c>
      <c r="N573" s="743"/>
      <c r="O573" s="739">
        <f t="shared" si="52"/>
        <v>0</v>
      </c>
      <c r="P573" s="739">
        <f t="shared" si="53"/>
        <v>0</v>
      </c>
      <c r="Q573" s="680"/>
    </row>
    <row r="574" spans="2:17" ht="12.75">
      <c r="B574" s="330"/>
      <c r="C574" s="735">
        <f>IF(D525="","-",+C573+1)</f>
        <v>2057</v>
      </c>
      <c r="D574" s="679">
        <f t="shared" si="54"/>
        <v>2718472.2270114925</v>
      </c>
      <c r="E574" s="741">
        <f t="shared" si="55"/>
        <v>171692.9827586207</v>
      </c>
      <c r="F574" s="741">
        <f t="shared" si="48"/>
        <v>2546779.2442528717</v>
      </c>
      <c r="G574" s="679">
        <f t="shared" si="49"/>
        <v>2632625.735632182</v>
      </c>
      <c r="H574" s="736">
        <f>+J526*G574+E574</f>
        <v>510271.8107246193</v>
      </c>
      <c r="I574" s="742">
        <f>+J527*G574+E574</f>
        <v>510271.8107246193</v>
      </c>
      <c r="J574" s="739">
        <f t="shared" si="50"/>
        <v>0</v>
      </c>
      <c r="K574" s="739"/>
      <c r="L574" s="743"/>
      <c r="M574" s="739">
        <f t="shared" si="51"/>
        <v>0</v>
      </c>
      <c r="N574" s="743"/>
      <c r="O574" s="739">
        <f t="shared" si="52"/>
        <v>0</v>
      </c>
      <c r="P574" s="739">
        <f t="shared" si="53"/>
        <v>0</v>
      </c>
      <c r="Q574" s="680"/>
    </row>
    <row r="575" spans="2:17" ht="12.75">
      <c r="B575" s="330"/>
      <c r="C575" s="735">
        <f>IF(D525="","-",+C574+1)</f>
        <v>2058</v>
      </c>
      <c r="D575" s="679">
        <f t="shared" si="54"/>
        <v>2546779.2442528717</v>
      </c>
      <c r="E575" s="741">
        <f t="shared" si="55"/>
        <v>171692.9827586207</v>
      </c>
      <c r="F575" s="741">
        <f t="shared" si="48"/>
        <v>2375086.261494251</v>
      </c>
      <c r="G575" s="679">
        <f t="shared" si="49"/>
        <v>2460932.7528735613</v>
      </c>
      <c r="H575" s="736">
        <f>+J526*G575+E575</f>
        <v>488190.5828137933</v>
      </c>
      <c r="I575" s="742">
        <f>+J527*G575+E575</f>
        <v>488190.5828137933</v>
      </c>
      <c r="J575" s="739">
        <f t="shared" si="50"/>
        <v>0</v>
      </c>
      <c r="K575" s="739"/>
      <c r="L575" s="743"/>
      <c r="M575" s="739">
        <f t="shared" si="51"/>
        <v>0</v>
      </c>
      <c r="N575" s="743"/>
      <c r="O575" s="739">
        <f t="shared" si="52"/>
        <v>0</v>
      </c>
      <c r="P575" s="739">
        <f t="shared" si="53"/>
        <v>0</v>
      </c>
      <c r="Q575" s="680"/>
    </row>
    <row r="576" spans="2:17" ht="12.75">
      <c r="B576" s="330"/>
      <c r="C576" s="735">
        <f>IF(D525="","-",+C575+1)</f>
        <v>2059</v>
      </c>
      <c r="D576" s="679">
        <f t="shared" si="54"/>
        <v>2375086.261494251</v>
      </c>
      <c r="E576" s="741">
        <f t="shared" si="55"/>
        <v>171692.9827586207</v>
      </c>
      <c r="F576" s="741">
        <f t="shared" si="48"/>
        <v>2203393.27873563</v>
      </c>
      <c r="G576" s="679">
        <f t="shared" si="49"/>
        <v>2289239.7701149406</v>
      </c>
      <c r="H576" s="736">
        <f>+J526*G576+E576</f>
        <v>466109.3549029673</v>
      </c>
      <c r="I576" s="742">
        <f>+J527*G576+E576</f>
        <v>466109.3549029673</v>
      </c>
      <c r="J576" s="739">
        <f t="shared" si="50"/>
        <v>0</v>
      </c>
      <c r="K576" s="739"/>
      <c r="L576" s="743"/>
      <c r="M576" s="739">
        <f t="shared" si="51"/>
        <v>0</v>
      </c>
      <c r="N576" s="743"/>
      <c r="O576" s="739">
        <f t="shared" si="52"/>
        <v>0</v>
      </c>
      <c r="P576" s="739">
        <f t="shared" si="53"/>
        <v>0</v>
      </c>
      <c r="Q576" s="680"/>
    </row>
    <row r="577" spans="2:17" ht="12.75">
      <c r="B577" s="330"/>
      <c r="C577" s="735">
        <f>IF(D525="","-",+C576+1)</f>
        <v>2060</v>
      </c>
      <c r="D577" s="679">
        <f t="shared" si="54"/>
        <v>2203393.27873563</v>
      </c>
      <c r="E577" s="741">
        <f t="shared" si="55"/>
        <v>171692.9827586207</v>
      </c>
      <c r="F577" s="741">
        <f t="shared" si="48"/>
        <v>2031700.2959770095</v>
      </c>
      <c r="G577" s="679">
        <f t="shared" si="49"/>
        <v>2117546.78735632</v>
      </c>
      <c r="H577" s="736">
        <f>+J526*G577+E577</f>
        <v>444028.12699214125</v>
      </c>
      <c r="I577" s="742">
        <f>+J527*G577+E577</f>
        <v>444028.12699214125</v>
      </c>
      <c r="J577" s="739">
        <f t="shared" si="50"/>
        <v>0</v>
      </c>
      <c r="K577" s="739"/>
      <c r="L577" s="743"/>
      <c r="M577" s="739">
        <f t="shared" si="51"/>
        <v>0</v>
      </c>
      <c r="N577" s="743"/>
      <c r="O577" s="739">
        <f t="shared" si="52"/>
        <v>0</v>
      </c>
      <c r="P577" s="739">
        <f t="shared" si="53"/>
        <v>0</v>
      </c>
      <c r="Q577" s="680"/>
    </row>
    <row r="578" spans="2:17" ht="12.75">
      <c r="B578" s="330"/>
      <c r="C578" s="735">
        <f>IF(D525="","-",+C577+1)</f>
        <v>2061</v>
      </c>
      <c r="D578" s="679">
        <f t="shared" si="54"/>
        <v>2031700.2959770095</v>
      </c>
      <c r="E578" s="741">
        <f t="shared" si="55"/>
        <v>171692.9827586207</v>
      </c>
      <c r="F578" s="741">
        <f t="shared" si="48"/>
        <v>1860007.3132183887</v>
      </c>
      <c r="G578" s="679">
        <f t="shared" si="49"/>
        <v>1945853.804597699</v>
      </c>
      <c r="H578" s="736">
        <f>+J526*G578+E578</f>
        <v>421946.89908131526</v>
      </c>
      <c r="I578" s="742">
        <f>+J527*G578+E578</f>
        <v>421946.89908131526</v>
      </c>
      <c r="J578" s="739">
        <f t="shared" si="50"/>
        <v>0</v>
      </c>
      <c r="K578" s="739"/>
      <c r="L578" s="743"/>
      <c r="M578" s="739">
        <f t="shared" si="51"/>
        <v>0</v>
      </c>
      <c r="N578" s="743"/>
      <c r="O578" s="739">
        <f t="shared" si="52"/>
        <v>0</v>
      </c>
      <c r="P578" s="739">
        <f t="shared" si="53"/>
        <v>0</v>
      </c>
      <c r="Q578" s="680"/>
    </row>
    <row r="579" spans="2:17" ht="12.75">
      <c r="B579" s="330"/>
      <c r="C579" s="735">
        <f>IF(D525="","-",+C578+1)</f>
        <v>2062</v>
      </c>
      <c r="D579" s="679">
        <f t="shared" si="54"/>
        <v>1860007.3132183887</v>
      </c>
      <c r="E579" s="741">
        <f t="shared" si="55"/>
        <v>171692.9827586207</v>
      </c>
      <c r="F579" s="741">
        <f t="shared" si="48"/>
        <v>1688314.330459768</v>
      </c>
      <c r="G579" s="679">
        <f t="shared" si="49"/>
        <v>1774160.8218390783</v>
      </c>
      <c r="H579" s="736">
        <f>+J526*G579+E579</f>
        <v>399865.6711704892</v>
      </c>
      <c r="I579" s="742">
        <f>+J527*G579+E579</f>
        <v>399865.6711704892</v>
      </c>
      <c r="J579" s="739">
        <f t="shared" si="50"/>
        <v>0</v>
      </c>
      <c r="K579" s="739"/>
      <c r="L579" s="743"/>
      <c r="M579" s="739">
        <f t="shared" si="51"/>
        <v>0</v>
      </c>
      <c r="N579" s="743"/>
      <c r="O579" s="739">
        <f t="shared" si="52"/>
        <v>0</v>
      </c>
      <c r="P579" s="739">
        <f t="shared" si="53"/>
        <v>0</v>
      </c>
      <c r="Q579" s="680"/>
    </row>
    <row r="580" spans="2:17" ht="12.75">
      <c r="B580" s="330"/>
      <c r="C580" s="735">
        <f>IF(D525="","-",+C579+1)</f>
        <v>2063</v>
      </c>
      <c r="D580" s="679">
        <f t="shared" si="54"/>
        <v>1688314.330459768</v>
      </c>
      <c r="E580" s="741">
        <f t="shared" si="55"/>
        <v>171692.9827586207</v>
      </c>
      <c r="F580" s="741">
        <f t="shared" si="48"/>
        <v>1516621.3477011472</v>
      </c>
      <c r="G580" s="679">
        <f t="shared" si="49"/>
        <v>1602467.8390804576</v>
      </c>
      <c r="H580" s="736">
        <f>+J526*G580+E580</f>
        <v>377784.4432596632</v>
      </c>
      <c r="I580" s="742">
        <f>+J527*G580+E580</f>
        <v>377784.4432596632</v>
      </c>
      <c r="J580" s="739">
        <f t="shared" si="50"/>
        <v>0</v>
      </c>
      <c r="K580" s="739"/>
      <c r="L580" s="743"/>
      <c r="M580" s="739">
        <f t="shared" si="51"/>
        <v>0</v>
      </c>
      <c r="N580" s="743"/>
      <c r="O580" s="739">
        <f t="shared" si="52"/>
        <v>0</v>
      </c>
      <c r="P580" s="739">
        <f t="shared" si="53"/>
        <v>0</v>
      </c>
      <c r="Q580" s="680"/>
    </row>
    <row r="581" spans="2:17" ht="12.75">
      <c r="B581" s="330"/>
      <c r="C581" s="735">
        <f>IF(D525="","-",+C580+1)</f>
        <v>2064</v>
      </c>
      <c r="D581" s="679">
        <f t="shared" si="54"/>
        <v>1516621.3477011472</v>
      </c>
      <c r="E581" s="741">
        <f t="shared" si="55"/>
        <v>171692.9827586207</v>
      </c>
      <c r="F581" s="741">
        <f t="shared" si="48"/>
        <v>1344928.3649425264</v>
      </c>
      <c r="G581" s="679">
        <f t="shared" si="49"/>
        <v>1430774.8563218368</v>
      </c>
      <c r="H581" s="736">
        <f>+J526*G581+E581</f>
        <v>355703.2153488372</v>
      </c>
      <c r="I581" s="742">
        <f>+J527*G581+E581</f>
        <v>355703.2153488372</v>
      </c>
      <c r="J581" s="739">
        <f t="shared" si="50"/>
        <v>0</v>
      </c>
      <c r="K581" s="739"/>
      <c r="L581" s="743"/>
      <c r="M581" s="739">
        <f t="shared" si="51"/>
        <v>0</v>
      </c>
      <c r="N581" s="743"/>
      <c r="O581" s="739">
        <f t="shared" si="52"/>
        <v>0</v>
      </c>
      <c r="P581" s="739">
        <f t="shared" si="53"/>
        <v>0</v>
      </c>
      <c r="Q581" s="680"/>
    </row>
    <row r="582" spans="2:17" ht="12.75">
      <c r="B582" s="330"/>
      <c r="C582" s="735">
        <f>IF(D525="","-",+C581+1)</f>
        <v>2065</v>
      </c>
      <c r="D582" s="679">
        <f t="shared" si="54"/>
        <v>1344928.3649425264</v>
      </c>
      <c r="E582" s="741">
        <f t="shared" si="55"/>
        <v>171692.9827586207</v>
      </c>
      <c r="F582" s="741">
        <f t="shared" si="48"/>
        <v>1173235.3821839057</v>
      </c>
      <c r="G582" s="679">
        <f t="shared" si="49"/>
        <v>1259081.873563216</v>
      </c>
      <c r="H582" s="736">
        <f>+J526*G582+E582</f>
        <v>333621.98743801116</v>
      </c>
      <c r="I582" s="742">
        <f>+J527*G582+E582</f>
        <v>333621.98743801116</v>
      </c>
      <c r="J582" s="739">
        <f t="shared" si="50"/>
        <v>0</v>
      </c>
      <c r="K582" s="739"/>
      <c r="L582" s="743"/>
      <c r="M582" s="739">
        <f t="shared" si="51"/>
        <v>0</v>
      </c>
      <c r="N582" s="743"/>
      <c r="O582" s="739">
        <f t="shared" si="52"/>
        <v>0</v>
      </c>
      <c r="P582" s="739">
        <f t="shared" si="53"/>
        <v>0</v>
      </c>
      <c r="Q582" s="680"/>
    </row>
    <row r="583" spans="2:17" ht="12.75">
      <c r="B583" s="330"/>
      <c r="C583" s="735">
        <f>IF(D525="","-",+C582+1)</f>
        <v>2066</v>
      </c>
      <c r="D583" s="679">
        <f t="shared" si="54"/>
        <v>1173235.3821839057</v>
      </c>
      <c r="E583" s="741">
        <f t="shared" si="55"/>
        <v>171692.9827586207</v>
      </c>
      <c r="F583" s="741">
        <f t="shared" si="48"/>
        <v>1001542.3994252849</v>
      </c>
      <c r="G583" s="679">
        <f t="shared" si="49"/>
        <v>1087388.8908045953</v>
      </c>
      <c r="H583" s="736">
        <f>+J526*G583+E583</f>
        <v>311540.7595271851</v>
      </c>
      <c r="I583" s="742">
        <f>+J527*G583+E583</f>
        <v>311540.7595271851</v>
      </c>
      <c r="J583" s="739">
        <f t="shared" si="50"/>
        <v>0</v>
      </c>
      <c r="K583" s="739"/>
      <c r="L583" s="743"/>
      <c r="M583" s="739">
        <f t="shared" si="51"/>
        <v>0</v>
      </c>
      <c r="N583" s="743"/>
      <c r="O583" s="739">
        <f t="shared" si="52"/>
        <v>0</v>
      </c>
      <c r="P583" s="739">
        <f t="shared" si="53"/>
        <v>0</v>
      </c>
      <c r="Q583" s="680"/>
    </row>
    <row r="584" spans="2:17" ht="12.75">
      <c r="B584" s="330"/>
      <c r="C584" s="735">
        <f>IF(D525="","-",+C583+1)</f>
        <v>2067</v>
      </c>
      <c r="D584" s="679">
        <f t="shared" si="54"/>
        <v>1001542.3994252849</v>
      </c>
      <c r="E584" s="741">
        <f t="shared" si="55"/>
        <v>171692.9827586207</v>
      </c>
      <c r="F584" s="741">
        <f t="shared" si="48"/>
        <v>829849.4166666642</v>
      </c>
      <c r="G584" s="679">
        <f t="shared" si="49"/>
        <v>915695.9080459746</v>
      </c>
      <c r="H584" s="736">
        <f>+J526*G584+E584</f>
        <v>289459.53161635913</v>
      </c>
      <c r="I584" s="742">
        <f>+J527*G584+E584</f>
        <v>289459.53161635913</v>
      </c>
      <c r="J584" s="739">
        <f t="shared" si="50"/>
        <v>0</v>
      </c>
      <c r="K584" s="739"/>
      <c r="L584" s="743"/>
      <c r="M584" s="739">
        <f t="shared" si="51"/>
        <v>0</v>
      </c>
      <c r="N584" s="743"/>
      <c r="O584" s="739">
        <f t="shared" si="52"/>
        <v>0</v>
      </c>
      <c r="P584" s="739">
        <f t="shared" si="53"/>
        <v>0</v>
      </c>
      <c r="Q584" s="680"/>
    </row>
    <row r="585" spans="2:17" ht="12.75">
      <c r="B585" s="330"/>
      <c r="C585" s="735">
        <f>IF(D525="","-",+C584+1)</f>
        <v>2068</v>
      </c>
      <c r="D585" s="679">
        <f t="shared" si="54"/>
        <v>829849.4166666642</v>
      </c>
      <c r="E585" s="741">
        <f t="shared" si="55"/>
        <v>171692.9827586207</v>
      </c>
      <c r="F585" s="741">
        <f t="shared" si="48"/>
        <v>658156.4339080434</v>
      </c>
      <c r="G585" s="679">
        <f t="shared" si="49"/>
        <v>744002.9252873538</v>
      </c>
      <c r="H585" s="736">
        <f>+J526*G585+E585</f>
        <v>267378.3037055331</v>
      </c>
      <c r="I585" s="742">
        <f>+J527*G585+E585</f>
        <v>267378.3037055331</v>
      </c>
      <c r="J585" s="739">
        <f t="shared" si="50"/>
        <v>0</v>
      </c>
      <c r="K585" s="739"/>
      <c r="L585" s="743"/>
      <c r="M585" s="739">
        <f t="shared" si="51"/>
        <v>0</v>
      </c>
      <c r="N585" s="743"/>
      <c r="O585" s="739">
        <f t="shared" si="52"/>
        <v>0</v>
      </c>
      <c r="P585" s="739">
        <f t="shared" si="53"/>
        <v>0</v>
      </c>
      <c r="Q585" s="680"/>
    </row>
    <row r="586" spans="2:17" ht="12.75">
      <c r="B586" s="330"/>
      <c r="C586" s="735">
        <f>IF(D525="","-",+C585+1)</f>
        <v>2069</v>
      </c>
      <c r="D586" s="679">
        <f t="shared" si="54"/>
        <v>658156.4339080434</v>
      </c>
      <c r="E586" s="741">
        <f t="shared" si="55"/>
        <v>171692.9827586207</v>
      </c>
      <c r="F586" s="741">
        <f t="shared" si="48"/>
        <v>486463.45114942273</v>
      </c>
      <c r="G586" s="679">
        <f t="shared" si="49"/>
        <v>572309.942528733</v>
      </c>
      <c r="H586" s="736">
        <f>+J526*G586+E586</f>
        <v>245297.07579470705</v>
      </c>
      <c r="I586" s="742">
        <f>+J527*G586+E586</f>
        <v>245297.07579470705</v>
      </c>
      <c r="J586" s="739">
        <f t="shared" si="50"/>
        <v>0</v>
      </c>
      <c r="K586" s="739"/>
      <c r="L586" s="743"/>
      <c r="M586" s="739">
        <f t="shared" si="51"/>
        <v>0</v>
      </c>
      <c r="N586" s="743"/>
      <c r="O586" s="739">
        <f t="shared" si="52"/>
        <v>0</v>
      </c>
      <c r="P586" s="739">
        <f t="shared" si="53"/>
        <v>0</v>
      </c>
      <c r="Q586" s="680"/>
    </row>
    <row r="587" spans="2:17" ht="12.75">
      <c r="B587" s="330"/>
      <c r="C587" s="735">
        <f>IF(D525="","-",+C586+1)</f>
        <v>2070</v>
      </c>
      <c r="D587" s="679">
        <f t="shared" si="54"/>
        <v>486463.45114942273</v>
      </c>
      <c r="E587" s="741">
        <f t="shared" si="55"/>
        <v>171692.9827586207</v>
      </c>
      <c r="F587" s="741">
        <f t="shared" si="48"/>
        <v>314770.46839080204</v>
      </c>
      <c r="G587" s="679">
        <f t="shared" si="49"/>
        <v>400616.9597701124</v>
      </c>
      <c r="H587" s="736">
        <f>+J526*G587+E587</f>
        <v>223215.84788388107</v>
      </c>
      <c r="I587" s="742">
        <f>+J527*G587+E587</f>
        <v>223215.84788388107</v>
      </c>
      <c r="J587" s="739">
        <f t="shared" si="50"/>
        <v>0</v>
      </c>
      <c r="K587" s="739"/>
      <c r="L587" s="743"/>
      <c r="M587" s="739">
        <f t="shared" si="51"/>
        <v>0</v>
      </c>
      <c r="N587" s="743"/>
      <c r="O587" s="739">
        <f t="shared" si="52"/>
        <v>0</v>
      </c>
      <c r="P587" s="739">
        <f t="shared" si="53"/>
        <v>0</v>
      </c>
      <c r="Q587" s="680"/>
    </row>
    <row r="588" spans="2:17" ht="12.75">
      <c r="B588" s="330"/>
      <c r="C588" s="735">
        <f>IF(D525="","-",+C587+1)</f>
        <v>2071</v>
      </c>
      <c r="D588" s="679">
        <f t="shared" si="54"/>
        <v>314770.46839080204</v>
      </c>
      <c r="E588" s="741">
        <f t="shared" si="55"/>
        <v>171692.9827586207</v>
      </c>
      <c r="F588" s="741">
        <f t="shared" si="48"/>
        <v>143077.48563218134</v>
      </c>
      <c r="G588" s="679">
        <f t="shared" si="49"/>
        <v>228923.9770114917</v>
      </c>
      <c r="H588" s="736">
        <f>+J526*G588+E588</f>
        <v>201134.61997305506</v>
      </c>
      <c r="I588" s="742">
        <f>+J527*G588+E588</f>
        <v>201134.61997305506</v>
      </c>
      <c r="J588" s="739">
        <f t="shared" si="50"/>
        <v>0</v>
      </c>
      <c r="K588" s="739"/>
      <c r="L588" s="743"/>
      <c r="M588" s="739">
        <f t="shared" si="51"/>
        <v>0</v>
      </c>
      <c r="N588" s="743"/>
      <c r="O588" s="739">
        <f t="shared" si="52"/>
        <v>0</v>
      </c>
      <c r="P588" s="739">
        <f t="shared" si="53"/>
        <v>0</v>
      </c>
      <c r="Q588" s="680"/>
    </row>
    <row r="589" spans="2:17" ht="12.75">
      <c r="B589" s="330"/>
      <c r="C589" s="735">
        <f>IF(D525="","-",+C588+1)</f>
        <v>2072</v>
      </c>
      <c r="D589" s="679">
        <f t="shared" si="54"/>
        <v>143077.48563218134</v>
      </c>
      <c r="E589" s="741">
        <f t="shared" si="55"/>
        <v>143077.48563218134</v>
      </c>
      <c r="F589" s="741">
        <f t="shared" si="48"/>
        <v>0</v>
      </c>
      <c r="G589" s="679">
        <f t="shared" si="49"/>
        <v>71538.74281609067</v>
      </c>
      <c r="H589" s="736">
        <f>+J526*G589+E589</f>
        <v>152277.997261692</v>
      </c>
      <c r="I589" s="742">
        <f>+J527*G589+E589</f>
        <v>152277.997261692</v>
      </c>
      <c r="J589" s="739">
        <f t="shared" si="50"/>
        <v>0</v>
      </c>
      <c r="K589" s="739"/>
      <c r="L589" s="743"/>
      <c r="M589" s="739">
        <f t="shared" si="51"/>
        <v>0</v>
      </c>
      <c r="N589" s="743"/>
      <c r="O589" s="739">
        <f t="shared" si="52"/>
        <v>0</v>
      </c>
      <c r="P589" s="739">
        <f t="shared" si="53"/>
        <v>0</v>
      </c>
      <c r="Q589" s="680"/>
    </row>
    <row r="590" spans="2:17" ht="13.5" thickBot="1">
      <c r="B590" s="330"/>
      <c r="C590" s="746">
        <f>IF(D525="","-",+C589+1)</f>
        <v>2073</v>
      </c>
      <c r="D590" s="747">
        <f t="shared" si="54"/>
        <v>0</v>
      </c>
      <c r="E590" s="741">
        <f t="shared" si="55"/>
        <v>0</v>
      </c>
      <c r="F590" s="748">
        <f t="shared" si="48"/>
        <v>0</v>
      </c>
      <c r="G590" s="747">
        <f t="shared" si="49"/>
        <v>0</v>
      </c>
      <c r="H590" s="749">
        <f>+J526*G590+E590</f>
        <v>0</v>
      </c>
      <c r="I590" s="749">
        <f>+J527*G590+E590</f>
        <v>0</v>
      </c>
      <c r="J590" s="750">
        <f t="shared" si="50"/>
        <v>0</v>
      </c>
      <c r="K590" s="739"/>
      <c r="L590" s="751"/>
      <c r="M590" s="750">
        <f t="shared" si="51"/>
        <v>0</v>
      </c>
      <c r="N590" s="751"/>
      <c r="O590" s="750">
        <f t="shared" si="52"/>
        <v>0</v>
      </c>
      <c r="P590" s="750">
        <f t="shared" si="53"/>
        <v>0</v>
      </c>
      <c r="Q590" s="680"/>
    </row>
    <row r="591" spans="2:17" ht="12.75">
      <c r="B591" s="330"/>
      <c r="C591" s="679" t="s">
        <v>290</v>
      </c>
      <c r="D591" s="675"/>
      <c r="E591" s="675">
        <f>SUM(E531:E590)</f>
        <v>9958193</v>
      </c>
      <c r="F591" s="675"/>
      <c r="G591" s="675"/>
      <c r="H591" s="675">
        <f>SUM(H531:H590)</f>
        <v>48166077.69503261</v>
      </c>
      <c r="I591" s="675">
        <f>SUM(I531:I590)</f>
        <v>48166077.69503261</v>
      </c>
      <c r="J591" s="675">
        <f>SUM(J531:J590)</f>
        <v>0</v>
      </c>
      <c r="K591" s="675"/>
      <c r="L591" s="675"/>
      <c r="M591" s="675"/>
      <c r="N591" s="675"/>
      <c r="O591" s="675"/>
      <c r="Q591" s="675"/>
    </row>
    <row r="592" spans="2:17" ht="12.75">
      <c r="B592" s="330"/>
      <c r="D592" s="569"/>
      <c r="E592" s="546"/>
      <c r="F592" s="546"/>
      <c r="G592" s="546"/>
      <c r="H592" s="546"/>
      <c r="I592" s="652"/>
      <c r="J592" s="652"/>
      <c r="K592" s="675"/>
      <c r="L592" s="652"/>
      <c r="M592" s="652"/>
      <c r="N592" s="652"/>
      <c r="O592" s="652"/>
      <c r="Q592" s="675"/>
    </row>
    <row r="593" spans="2:17" ht="12.75">
      <c r="B593" s="330"/>
      <c r="C593" s="546" t="s">
        <v>605</v>
      </c>
      <c r="D593" s="569"/>
      <c r="E593" s="546"/>
      <c r="F593" s="546"/>
      <c r="G593" s="546"/>
      <c r="H593" s="546"/>
      <c r="I593" s="652"/>
      <c r="J593" s="652"/>
      <c r="K593" s="675"/>
      <c r="L593" s="652"/>
      <c r="M593" s="652"/>
      <c r="N593" s="652"/>
      <c r="O593" s="652"/>
      <c r="Q593" s="675"/>
    </row>
    <row r="594" spans="2:17" ht="12.75">
      <c r="B594" s="330"/>
      <c r="D594" s="569"/>
      <c r="E594" s="546"/>
      <c r="F594" s="546"/>
      <c r="G594" s="546"/>
      <c r="H594" s="546"/>
      <c r="I594" s="652"/>
      <c r="J594" s="652"/>
      <c r="K594" s="675"/>
      <c r="L594" s="652"/>
      <c r="M594" s="652"/>
      <c r="N594" s="652"/>
      <c r="O594" s="652"/>
      <c r="Q594" s="675"/>
    </row>
    <row r="595" spans="2:17" ht="12.75">
      <c r="B595" s="330"/>
      <c r="C595" s="582" t="s">
        <v>606</v>
      </c>
      <c r="D595" s="679"/>
      <c r="E595" s="679"/>
      <c r="F595" s="679"/>
      <c r="G595" s="679"/>
      <c r="H595" s="675"/>
      <c r="I595" s="675"/>
      <c r="J595" s="680"/>
      <c r="K595" s="680"/>
      <c r="L595" s="680"/>
      <c r="M595" s="680"/>
      <c r="N595" s="680"/>
      <c r="O595" s="680"/>
      <c r="Q595" s="680"/>
    </row>
    <row r="596" spans="2:17" ht="12.75">
      <c r="B596" s="330"/>
      <c r="C596" s="582" t="s">
        <v>478</v>
      </c>
      <c r="D596" s="679"/>
      <c r="E596" s="679"/>
      <c r="F596" s="679"/>
      <c r="G596" s="679"/>
      <c r="H596" s="675"/>
      <c r="I596" s="675"/>
      <c r="J596" s="680"/>
      <c r="K596" s="680"/>
      <c r="L596" s="680"/>
      <c r="M596" s="680"/>
      <c r="N596" s="680"/>
      <c r="O596" s="680"/>
      <c r="Q596" s="680"/>
    </row>
    <row r="597" spans="2:17" ht="12.75">
      <c r="B597" s="330"/>
      <c r="C597" s="582" t="s">
        <v>291</v>
      </c>
      <c r="D597" s="679"/>
      <c r="E597" s="679"/>
      <c r="F597" s="679"/>
      <c r="G597" s="679"/>
      <c r="H597" s="675"/>
      <c r="I597" s="675"/>
      <c r="J597" s="680"/>
      <c r="K597" s="680"/>
      <c r="L597" s="680"/>
      <c r="M597" s="680"/>
      <c r="N597" s="680"/>
      <c r="O597" s="680"/>
      <c r="Q597" s="680"/>
    </row>
    <row r="598" spans="1:17" ht="20.25">
      <c r="A598" s="681" t="s">
        <v>762</v>
      </c>
      <c r="B598" s="546"/>
      <c r="C598" s="661"/>
      <c r="D598" s="569"/>
      <c r="E598" s="546"/>
      <c r="F598" s="651"/>
      <c r="G598" s="651"/>
      <c r="H598" s="546"/>
      <c r="I598" s="652"/>
      <c r="L598" s="682"/>
      <c r="M598" s="682"/>
      <c r="N598" s="682"/>
      <c r="O598" s="597" t="str">
        <f>"Page "&amp;SUM(Q$1:Q598)&amp;" of "</f>
        <v>Page 8 of </v>
      </c>
      <c r="P598" s="598">
        <f>COUNT(Q$6:Q$57776)</f>
        <v>10</v>
      </c>
      <c r="Q598" s="772">
        <v>1</v>
      </c>
    </row>
    <row r="599" spans="2:17" ht="12.75">
      <c r="B599" s="546"/>
      <c r="C599" s="546"/>
      <c r="D599" s="569"/>
      <c r="E599" s="546"/>
      <c r="F599" s="546"/>
      <c r="G599" s="546"/>
      <c r="H599" s="546"/>
      <c r="I599" s="652"/>
      <c r="J599" s="546"/>
      <c r="K599" s="594"/>
      <c r="Q599" s="594"/>
    </row>
    <row r="600" spans="2:17" ht="18">
      <c r="B600" s="601" t="s">
        <v>176</v>
      </c>
      <c r="C600" s="683" t="s">
        <v>292</v>
      </c>
      <c r="D600" s="569"/>
      <c r="E600" s="546"/>
      <c r="F600" s="546"/>
      <c r="G600" s="546"/>
      <c r="H600" s="546"/>
      <c r="I600" s="652"/>
      <c r="J600" s="652"/>
      <c r="K600" s="675"/>
      <c r="L600" s="652"/>
      <c r="M600" s="652"/>
      <c r="N600" s="652"/>
      <c r="O600" s="652"/>
      <c r="Q600" s="675"/>
    </row>
    <row r="601" spans="2:17" ht="18.75">
      <c r="B601" s="601"/>
      <c r="C601" s="600"/>
      <c r="D601" s="569"/>
      <c r="E601" s="546"/>
      <c r="F601" s="546"/>
      <c r="G601" s="546"/>
      <c r="H601" s="546"/>
      <c r="I601" s="652"/>
      <c r="J601" s="652"/>
      <c r="K601" s="675"/>
      <c r="L601" s="652"/>
      <c r="M601" s="652"/>
      <c r="N601" s="652"/>
      <c r="O601" s="652"/>
      <c r="Q601" s="675"/>
    </row>
    <row r="602" spans="2:17" ht="18.75">
      <c r="B602" s="601"/>
      <c r="C602" s="600" t="s">
        <v>293</v>
      </c>
      <c r="D602" s="569"/>
      <c r="E602" s="546"/>
      <c r="F602" s="546"/>
      <c r="G602" s="546"/>
      <c r="H602" s="546"/>
      <c r="I602" s="652"/>
      <c r="J602" s="652"/>
      <c r="K602" s="675"/>
      <c r="L602" s="652"/>
      <c r="M602" s="652"/>
      <c r="N602" s="652"/>
      <c r="O602" s="652"/>
      <c r="Q602" s="675"/>
    </row>
    <row r="603" spans="2:17" ht="15.75" thickBot="1">
      <c r="B603" s="330"/>
      <c r="C603" s="396"/>
      <c r="D603" s="569"/>
      <c r="E603" s="546"/>
      <c r="F603" s="546"/>
      <c r="G603" s="546"/>
      <c r="H603" s="546"/>
      <c r="I603" s="652"/>
      <c r="J603" s="652"/>
      <c r="K603" s="675"/>
      <c r="L603" s="652"/>
      <c r="M603" s="652"/>
      <c r="N603" s="652"/>
      <c r="O603" s="652"/>
      <c r="Q603" s="675"/>
    </row>
    <row r="604" spans="2:17" ht="15.75">
      <c r="B604" s="330"/>
      <c r="C604" s="602" t="s">
        <v>294</v>
      </c>
      <c r="D604" s="569"/>
      <c r="E604" s="546"/>
      <c r="F604" s="546"/>
      <c r="G604" s="546"/>
      <c r="H604" s="851"/>
      <c r="I604" s="546" t="s">
        <v>273</v>
      </c>
      <c r="J604" s="546"/>
      <c r="K604" s="594"/>
      <c r="L604" s="773">
        <f>+J610</f>
        <v>2017</v>
      </c>
      <c r="M604" s="755" t="s">
        <v>256</v>
      </c>
      <c r="N604" s="755" t="s">
        <v>257</v>
      </c>
      <c r="O604" s="756" t="s">
        <v>258</v>
      </c>
      <c r="Q604" s="594"/>
    </row>
    <row r="605" spans="2:17" ht="15.75">
      <c r="B605" s="330"/>
      <c r="C605" s="602"/>
      <c r="D605" s="569"/>
      <c r="E605" s="546"/>
      <c r="F605" s="546"/>
      <c r="H605" s="546"/>
      <c r="I605" s="688"/>
      <c r="J605" s="688"/>
      <c r="K605" s="689"/>
      <c r="L605" s="774" t="s">
        <v>457</v>
      </c>
      <c r="M605" s="775">
        <f>VLOOKUP(J610,C617:P676,10)</f>
        <v>574408</v>
      </c>
      <c r="N605" s="775">
        <f>VLOOKUP(J610,C617:P676,12)</f>
        <v>574408</v>
      </c>
      <c r="O605" s="776">
        <f>+N605-M605</f>
        <v>0</v>
      </c>
      <c r="Q605" s="689"/>
    </row>
    <row r="606" spans="2:17" ht="12.75">
      <c r="B606" s="330"/>
      <c r="C606" s="693" t="s">
        <v>295</v>
      </c>
      <c r="D606" s="1524" t="s">
        <v>975</v>
      </c>
      <c r="E606" s="1525"/>
      <c r="F606" s="1525"/>
      <c r="G606" s="1525"/>
      <c r="H606" s="1525"/>
      <c r="I606" s="1525"/>
      <c r="J606" s="652"/>
      <c r="K606" s="675"/>
      <c r="L606" s="774" t="s">
        <v>458</v>
      </c>
      <c r="M606" s="777">
        <f>VLOOKUP(J610,C617:P676,6)</f>
        <v>448624.06449323456</v>
      </c>
      <c r="N606" s="777">
        <f>VLOOKUP(J610,C617:P676,7)</f>
        <v>448624.06449323456</v>
      </c>
      <c r="O606" s="778">
        <f>+N606-M606</f>
        <v>0</v>
      </c>
      <c r="Q606" s="675"/>
    </row>
    <row r="607" spans="2:17" ht="13.5" thickBot="1">
      <c r="B607" s="330"/>
      <c r="C607" s="697"/>
      <c r="D607" s="1525"/>
      <c r="E607" s="1525"/>
      <c r="F607" s="1525"/>
      <c r="G607" s="1525"/>
      <c r="H607" s="1525"/>
      <c r="I607" s="1525"/>
      <c r="J607" s="652"/>
      <c r="K607" s="675"/>
      <c r="L607" s="718" t="s">
        <v>459</v>
      </c>
      <c r="M607" s="779">
        <f>+M606-M605</f>
        <v>-125783.93550676544</v>
      </c>
      <c r="N607" s="779">
        <f>+N606-N605</f>
        <v>-125783.93550676544</v>
      </c>
      <c r="O607" s="780">
        <f>+O606-O605</f>
        <v>0</v>
      </c>
      <c r="Q607" s="675"/>
    </row>
    <row r="608" spans="2:17" ht="13.5" thickBot="1">
      <c r="B608" s="330"/>
      <c r="C608" s="700"/>
      <c r="D608" s="701"/>
      <c r="E608" s="699"/>
      <c r="F608" s="699"/>
      <c r="G608" s="699"/>
      <c r="H608" s="699"/>
      <c r="I608" s="699"/>
      <c r="J608" s="699"/>
      <c r="K608" s="702"/>
      <c r="L608" s="699"/>
      <c r="M608" s="699"/>
      <c r="N608" s="699"/>
      <c r="O608" s="699"/>
      <c r="P608" s="582"/>
      <c r="Q608" s="702"/>
    </row>
    <row r="609" spans="2:17" ht="13.5" thickBot="1">
      <c r="B609" s="330"/>
      <c r="C609" s="704" t="s">
        <v>296</v>
      </c>
      <c r="D609" s="705"/>
      <c r="E609" s="705"/>
      <c r="F609" s="705"/>
      <c r="G609" s="705"/>
      <c r="H609" s="705"/>
      <c r="I609" s="705"/>
      <c r="J609" s="705"/>
      <c r="K609" s="707"/>
      <c r="P609" s="708"/>
      <c r="Q609" s="707"/>
    </row>
    <row r="610" spans="1:17" ht="15">
      <c r="A610" s="703"/>
      <c r="B610" s="330"/>
      <c r="C610" s="710" t="s">
        <v>274</v>
      </c>
      <c r="D610" s="1288">
        <v>3147707</v>
      </c>
      <c r="E610" s="661" t="s">
        <v>275</v>
      </c>
      <c r="H610" s="711"/>
      <c r="I610" s="711"/>
      <c r="J610" s="712">
        <v>2017</v>
      </c>
      <c r="K610" s="592"/>
      <c r="L610" s="1515" t="s">
        <v>276</v>
      </c>
      <c r="M610" s="1515"/>
      <c r="N610" s="1515"/>
      <c r="O610" s="1515"/>
      <c r="P610" s="594"/>
      <c r="Q610" s="592"/>
    </row>
    <row r="611" spans="1:17" ht="12.75">
      <c r="A611" s="703"/>
      <c r="B611" s="330"/>
      <c r="C611" s="710" t="s">
        <v>277</v>
      </c>
      <c r="D611" s="1290">
        <v>2015</v>
      </c>
      <c r="E611" s="710" t="s">
        <v>278</v>
      </c>
      <c r="F611" s="711"/>
      <c r="G611" s="711"/>
      <c r="I611" s="330"/>
      <c r="J611" s="856">
        <v>0</v>
      </c>
      <c r="K611" s="713"/>
      <c r="L611" s="675" t="s">
        <v>477</v>
      </c>
      <c r="P611" s="594"/>
      <c r="Q611" s="713"/>
    </row>
    <row r="612" spans="1:17" ht="12.75">
      <c r="A612" s="703"/>
      <c r="B612" s="330"/>
      <c r="C612" s="710" t="s">
        <v>279</v>
      </c>
      <c r="D612" s="1289">
        <v>12</v>
      </c>
      <c r="E612" s="710" t="s">
        <v>280</v>
      </c>
      <c r="F612" s="711"/>
      <c r="G612" s="711"/>
      <c r="I612" s="330"/>
      <c r="J612" s="714">
        <f>$F$68</f>
        <v>0.12860879667906705</v>
      </c>
      <c r="K612" s="715"/>
      <c r="L612" s="546" t="str">
        <f>"          INPUT TRUE-UP ARR (WITH &amp; WITHOUT INCENTIVES) FROM EACH PRIOR YEAR"</f>
        <v>          INPUT TRUE-UP ARR (WITH &amp; WITHOUT INCENTIVES) FROM EACH PRIOR YEAR</v>
      </c>
      <c r="P612" s="594"/>
      <c r="Q612" s="715"/>
    </row>
    <row r="613" spans="1:17" ht="12.75">
      <c r="A613" s="703"/>
      <c r="B613" s="330"/>
      <c r="C613" s="710" t="s">
        <v>281</v>
      </c>
      <c r="D613" s="716">
        <f>$H$77</f>
        <v>58</v>
      </c>
      <c r="E613" s="710" t="s">
        <v>282</v>
      </c>
      <c r="F613" s="711"/>
      <c r="G613" s="711"/>
      <c r="I613" s="330"/>
      <c r="J613" s="714">
        <f>IF(H604="",J612,$F$67)</f>
        <v>0.12860879667906705</v>
      </c>
      <c r="K613" s="717"/>
      <c r="L613" s="546" t="s">
        <v>364</v>
      </c>
      <c r="M613" s="717"/>
      <c r="N613" s="717"/>
      <c r="O613" s="717"/>
      <c r="P613" s="594"/>
      <c r="Q613" s="717"/>
    </row>
    <row r="614" spans="1:17" ht="13.5" thickBot="1">
      <c r="A614" s="703"/>
      <c r="B614" s="330"/>
      <c r="C614" s="710" t="s">
        <v>283</v>
      </c>
      <c r="D614" s="1291" t="s">
        <v>879</v>
      </c>
      <c r="E614" s="718" t="s">
        <v>284</v>
      </c>
      <c r="F614" s="719"/>
      <c r="G614" s="719"/>
      <c r="H614" s="720"/>
      <c r="I614" s="720"/>
      <c r="J614" s="696">
        <f>IF(D610=0,0,D610/D613)</f>
        <v>54270.81034482759</v>
      </c>
      <c r="K614" s="675"/>
      <c r="L614" s="675" t="s">
        <v>365</v>
      </c>
      <c r="M614" s="675"/>
      <c r="N614" s="675"/>
      <c r="O614" s="675"/>
      <c r="P614" s="594"/>
      <c r="Q614" s="675"/>
    </row>
    <row r="615" spans="1:17" ht="38.25">
      <c r="A615" s="531"/>
      <c r="B615" s="531"/>
      <c r="C615" s="721" t="s">
        <v>274</v>
      </c>
      <c r="D615" s="722" t="s">
        <v>285</v>
      </c>
      <c r="E615" s="723" t="s">
        <v>286</v>
      </c>
      <c r="F615" s="722" t="s">
        <v>287</v>
      </c>
      <c r="G615" s="722" t="s">
        <v>460</v>
      </c>
      <c r="H615" s="723" t="s">
        <v>358</v>
      </c>
      <c r="I615" s="724" t="s">
        <v>358</v>
      </c>
      <c r="J615" s="721" t="s">
        <v>297</v>
      </c>
      <c r="K615" s="725"/>
      <c r="L615" s="723" t="s">
        <v>360</v>
      </c>
      <c r="M615" s="723" t="s">
        <v>366</v>
      </c>
      <c r="N615" s="723" t="s">
        <v>360</v>
      </c>
      <c r="O615" s="723" t="s">
        <v>368</v>
      </c>
      <c r="P615" s="723" t="s">
        <v>288</v>
      </c>
      <c r="Q615" s="727"/>
    </row>
    <row r="616" spans="2:17" ht="13.5" thickBot="1">
      <c r="B616" s="330"/>
      <c r="C616" s="728" t="s">
        <v>179</v>
      </c>
      <c r="D616" s="729" t="s">
        <v>180</v>
      </c>
      <c r="E616" s="728" t="s">
        <v>38</v>
      </c>
      <c r="F616" s="729" t="s">
        <v>180</v>
      </c>
      <c r="G616" s="729" t="s">
        <v>180</v>
      </c>
      <c r="H616" s="730" t="s">
        <v>300</v>
      </c>
      <c r="I616" s="731" t="s">
        <v>302</v>
      </c>
      <c r="J616" s="732" t="s">
        <v>391</v>
      </c>
      <c r="K616" s="733"/>
      <c r="L616" s="730" t="s">
        <v>289</v>
      </c>
      <c r="M616" s="730" t="s">
        <v>289</v>
      </c>
      <c r="N616" s="730" t="s">
        <v>469</v>
      </c>
      <c r="O616" s="730" t="s">
        <v>469</v>
      </c>
      <c r="P616" s="730" t="s">
        <v>469</v>
      </c>
      <c r="Q616" s="592"/>
    </row>
    <row r="617" spans="2:17" ht="12.75">
      <c r="B617" s="330"/>
      <c r="C617" s="735">
        <f>IF(D611="","-",D611)</f>
        <v>2015</v>
      </c>
      <c r="D617" s="679">
        <f>+D610</f>
        <v>3147707</v>
      </c>
      <c r="E617" s="736">
        <f>+J614/12*(12-D612)</f>
        <v>0</v>
      </c>
      <c r="F617" s="781">
        <f aca="true" t="shared" si="56" ref="F617:F676">+D617-E617</f>
        <v>3147707</v>
      </c>
      <c r="G617" s="679">
        <f aca="true" t="shared" si="57" ref="G617:G676">+(D617+F617)/2</f>
        <v>3147707</v>
      </c>
      <c r="H617" s="737">
        <f>+J612*G617+E617</f>
        <v>404822.8095682761</v>
      </c>
      <c r="I617" s="738">
        <f>+J613*G617+E617</f>
        <v>404822.8095682761</v>
      </c>
      <c r="J617" s="739">
        <f aca="true" t="shared" si="58" ref="J617:J676">+I617-H617</f>
        <v>0</v>
      </c>
      <c r="K617" s="739"/>
      <c r="L617" s="1284">
        <v>0</v>
      </c>
      <c r="M617" s="782">
        <f aca="true" t="shared" si="59" ref="M617:M676">IF(L617&lt;&gt;0,+H617-L617,0)</f>
        <v>0</v>
      </c>
      <c r="N617" s="1284">
        <v>0</v>
      </c>
      <c r="O617" s="782">
        <f aca="true" t="shared" si="60" ref="O617:O676">IF(N617&lt;&gt;0,+I617-N617,0)</f>
        <v>0</v>
      </c>
      <c r="P617" s="782">
        <f aca="true" t="shared" si="61" ref="P617:P676">+O617-M617</f>
        <v>0</v>
      </c>
      <c r="Q617" s="680"/>
    </row>
    <row r="618" spans="2:17" ht="12.75">
      <c r="B618" s="330"/>
      <c r="C618" s="1258">
        <f>IF(D611="","-",+C617+1)</f>
        <v>2016</v>
      </c>
      <c r="D618" s="679">
        <f aca="true" t="shared" si="62" ref="D618:D676">F617</f>
        <v>3147707</v>
      </c>
      <c r="E618" s="741">
        <f>IF(D618&gt;$J$614,$J$614,D618)</f>
        <v>54270.81034482759</v>
      </c>
      <c r="F618" s="741">
        <f t="shared" si="56"/>
        <v>3093436.1896551726</v>
      </c>
      <c r="G618" s="679">
        <f t="shared" si="57"/>
        <v>3120571.5948275863</v>
      </c>
      <c r="H618" s="736">
        <f>+J612*G618+E618</f>
        <v>455603.76810648065</v>
      </c>
      <c r="I618" s="742">
        <f>+J613*G618+E618</f>
        <v>455603.76810648065</v>
      </c>
      <c r="J618" s="739">
        <f t="shared" si="58"/>
        <v>0</v>
      </c>
      <c r="K618" s="739"/>
      <c r="L618" s="1256">
        <v>486138</v>
      </c>
      <c r="M618" s="739">
        <f t="shared" si="59"/>
        <v>-30534.231893519347</v>
      </c>
      <c r="N618" s="1256">
        <v>486138</v>
      </c>
      <c r="O618" s="739">
        <f t="shared" si="60"/>
        <v>-30534.231893519347</v>
      </c>
      <c r="P618" s="739">
        <f t="shared" si="61"/>
        <v>0</v>
      </c>
      <c r="Q618" s="680"/>
    </row>
    <row r="619" spans="2:17" ht="12.75">
      <c r="B619" s="330"/>
      <c r="C619" s="1229">
        <f>IF(D611="","-",+C618+1)</f>
        <v>2017</v>
      </c>
      <c r="D619" s="679">
        <f t="shared" si="62"/>
        <v>3093436.1896551726</v>
      </c>
      <c r="E619" s="741">
        <f aca="true" t="shared" si="63" ref="E619:E676">IF(D619&gt;$J$614,$J$614,D619)</f>
        <v>54270.81034482759</v>
      </c>
      <c r="F619" s="741">
        <f t="shared" si="56"/>
        <v>3039165.3793103453</v>
      </c>
      <c r="G619" s="679">
        <f t="shared" si="57"/>
        <v>3066300.784482759</v>
      </c>
      <c r="H619" s="736">
        <f>+J612*G619+E619</f>
        <v>448624.06449323456</v>
      </c>
      <c r="I619" s="742">
        <f>+J613*G619+E619</f>
        <v>448624.06449323456</v>
      </c>
      <c r="J619" s="739">
        <f t="shared" si="58"/>
        <v>0</v>
      </c>
      <c r="K619" s="739"/>
      <c r="L619" s="1256">
        <v>574408</v>
      </c>
      <c r="M619" s="739">
        <f t="shared" si="59"/>
        <v>-125783.93550676544</v>
      </c>
      <c r="N619" s="1256">
        <v>574408</v>
      </c>
      <c r="O619" s="739">
        <f t="shared" si="60"/>
        <v>-125783.93550676544</v>
      </c>
      <c r="P619" s="739">
        <f t="shared" si="61"/>
        <v>0</v>
      </c>
      <c r="Q619" s="680"/>
    </row>
    <row r="620" spans="2:17" ht="12.75">
      <c r="B620" s="330"/>
      <c r="C620" s="735">
        <f>IF(D611="","-",+C619+1)</f>
        <v>2018</v>
      </c>
      <c r="D620" s="679">
        <f t="shared" si="62"/>
        <v>3039165.3793103453</v>
      </c>
      <c r="E620" s="741">
        <f t="shared" si="63"/>
        <v>54270.81034482759</v>
      </c>
      <c r="F620" s="741">
        <f t="shared" si="56"/>
        <v>2984894.568965518</v>
      </c>
      <c r="G620" s="679">
        <f t="shared" si="57"/>
        <v>3012029.9741379316</v>
      </c>
      <c r="H620" s="736">
        <f>+J612*G620+E620</f>
        <v>441644.3608799884</v>
      </c>
      <c r="I620" s="742">
        <f>+J613*G620+E620</f>
        <v>441644.3608799884</v>
      </c>
      <c r="J620" s="739">
        <f t="shared" si="58"/>
        <v>0</v>
      </c>
      <c r="K620" s="739"/>
      <c r="L620" s="1256"/>
      <c r="M620" s="739">
        <f t="shared" si="59"/>
        <v>0</v>
      </c>
      <c r="N620" s="1256"/>
      <c r="O620" s="739">
        <f t="shared" si="60"/>
        <v>0</v>
      </c>
      <c r="P620" s="739">
        <f t="shared" si="61"/>
        <v>0</v>
      </c>
      <c r="Q620" s="680"/>
    </row>
    <row r="621" spans="2:17" ht="12.75">
      <c r="B621" s="330"/>
      <c r="C621" s="735">
        <f>IF(D611="","-",+C620+1)</f>
        <v>2019</v>
      </c>
      <c r="D621" s="679">
        <f t="shared" si="62"/>
        <v>2984894.568965518</v>
      </c>
      <c r="E621" s="741">
        <f t="shared" si="63"/>
        <v>54270.81034482759</v>
      </c>
      <c r="F621" s="741">
        <f t="shared" si="56"/>
        <v>2930623.7586206906</v>
      </c>
      <c r="G621" s="679">
        <f t="shared" si="57"/>
        <v>2957759.1637931042</v>
      </c>
      <c r="H621" s="736">
        <f>+J612*G621+E621</f>
        <v>434664.6572667423</v>
      </c>
      <c r="I621" s="742">
        <f>+J613*G621+E621</f>
        <v>434664.6572667423</v>
      </c>
      <c r="J621" s="739">
        <f t="shared" si="58"/>
        <v>0</v>
      </c>
      <c r="K621" s="739"/>
      <c r="L621" s="1256"/>
      <c r="M621" s="739">
        <f t="shared" si="59"/>
        <v>0</v>
      </c>
      <c r="N621" s="1256"/>
      <c r="O621" s="739">
        <f t="shared" si="60"/>
        <v>0</v>
      </c>
      <c r="P621" s="739">
        <f t="shared" si="61"/>
        <v>0</v>
      </c>
      <c r="Q621" s="680"/>
    </row>
    <row r="622" spans="2:17" ht="12.75">
      <c r="B622" s="330"/>
      <c r="C622" s="735">
        <f>IF(D611="","-",+C621+1)</f>
        <v>2020</v>
      </c>
      <c r="D622" s="679">
        <f t="shared" si="62"/>
        <v>2930623.7586206906</v>
      </c>
      <c r="E622" s="741">
        <f t="shared" si="63"/>
        <v>54270.81034482759</v>
      </c>
      <c r="F622" s="741">
        <f t="shared" si="56"/>
        <v>2876352.948275863</v>
      </c>
      <c r="G622" s="679">
        <f t="shared" si="57"/>
        <v>2903488.353448277</v>
      </c>
      <c r="H622" s="736">
        <f>+J612*G622+E622</f>
        <v>427684.9536534962</v>
      </c>
      <c r="I622" s="742">
        <f>+J613*G622+E622</f>
        <v>427684.9536534962</v>
      </c>
      <c r="J622" s="739">
        <f t="shared" si="58"/>
        <v>0</v>
      </c>
      <c r="K622" s="739"/>
      <c r="L622" s="1256"/>
      <c r="M622" s="739">
        <f t="shared" si="59"/>
        <v>0</v>
      </c>
      <c r="N622" s="1256"/>
      <c r="O622" s="739">
        <f t="shared" si="60"/>
        <v>0</v>
      </c>
      <c r="P622" s="739">
        <f t="shared" si="61"/>
        <v>0</v>
      </c>
      <c r="Q622" s="680"/>
    </row>
    <row r="623" spans="2:17" ht="12.75">
      <c r="B623" s="330"/>
      <c r="C623" s="735">
        <f>IF(D611="","-",+C622+1)</f>
        <v>2021</v>
      </c>
      <c r="D623" s="679">
        <f t="shared" si="62"/>
        <v>2876352.948275863</v>
      </c>
      <c r="E623" s="741">
        <f t="shared" si="63"/>
        <v>54270.81034482759</v>
      </c>
      <c r="F623" s="741">
        <f t="shared" si="56"/>
        <v>2822082.137931036</v>
      </c>
      <c r="G623" s="679">
        <f t="shared" si="57"/>
        <v>2849217.5431034495</v>
      </c>
      <c r="H623" s="736">
        <f>+J612*G623+E623</f>
        <v>420705.2500402501</v>
      </c>
      <c r="I623" s="742">
        <f>+J613*G623+E623</f>
        <v>420705.2500402501</v>
      </c>
      <c r="J623" s="739">
        <f t="shared" si="58"/>
        <v>0</v>
      </c>
      <c r="K623" s="739"/>
      <c r="L623" s="1256"/>
      <c r="M623" s="739">
        <f t="shared" si="59"/>
        <v>0</v>
      </c>
      <c r="N623" s="1256"/>
      <c r="O623" s="739">
        <f t="shared" si="60"/>
        <v>0</v>
      </c>
      <c r="P623" s="739">
        <f t="shared" si="61"/>
        <v>0</v>
      </c>
      <c r="Q623" s="680"/>
    </row>
    <row r="624" spans="2:17" ht="12.75">
      <c r="B624" s="330"/>
      <c r="C624" s="735">
        <f>IF(D611="","-",+C623+1)</f>
        <v>2022</v>
      </c>
      <c r="D624" s="679">
        <f t="shared" si="62"/>
        <v>2822082.137931036</v>
      </c>
      <c r="E624" s="741">
        <f t="shared" si="63"/>
        <v>54270.81034482759</v>
      </c>
      <c r="F624" s="741">
        <f t="shared" si="56"/>
        <v>2767811.3275862085</v>
      </c>
      <c r="G624" s="679">
        <f t="shared" si="57"/>
        <v>2794946.732758622</v>
      </c>
      <c r="H624" s="736">
        <f>+J612*G624+E624</f>
        <v>413725.546427004</v>
      </c>
      <c r="I624" s="742">
        <f>+J613*G624+E624</f>
        <v>413725.546427004</v>
      </c>
      <c r="J624" s="739">
        <f t="shared" si="58"/>
        <v>0</v>
      </c>
      <c r="K624" s="739"/>
      <c r="L624" s="1256"/>
      <c r="M624" s="739">
        <f t="shared" si="59"/>
        <v>0</v>
      </c>
      <c r="N624" s="1256"/>
      <c r="O624" s="739">
        <f t="shared" si="60"/>
        <v>0</v>
      </c>
      <c r="P624" s="739">
        <f t="shared" si="61"/>
        <v>0</v>
      </c>
      <c r="Q624" s="680"/>
    </row>
    <row r="625" spans="2:17" ht="12.75">
      <c r="B625" s="330"/>
      <c r="C625" s="735">
        <f>IF(D611="","-",+C624+1)</f>
        <v>2023</v>
      </c>
      <c r="D625" s="679">
        <f t="shared" si="62"/>
        <v>2767811.3275862085</v>
      </c>
      <c r="E625" s="741">
        <f t="shared" si="63"/>
        <v>54270.81034482759</v>
      </c>
      <c r="F625" s="741">
        <f t="shared" si="56"/>
        <v>2713540.517241381</v>
      </c>
      <c r="G625" s="679">
        <f t="shared" si="57"/>
        <v>2740675.922413795</v>
      </c>
      <c r="H625" s="736">
        <f>+J612*G625+E625</f>
        <v>406745.8428137579</v>
      </c>
      <c r="I625" s="742">
        <f>+J613*G625+E625</f>
        <v>406745.8428137579</v>
      </c>
      <c r="J625" s="739">
        <f t="shared" si="58"/>
        <v>0</v>
      </c>
      <c r="K625" s="739"/>
      <c r="L625" s="1256"/>
      <c r="M625" s="739">
        <f t="shared" si="59"/>
        <v>0</v>
      </c>
      <c r="N625" s="1256"/>
      <c r="O625" s="739">
        <f t="shared" si="60"/>
        <v>0</v>
      </c>
      <c r="P625" s="739">
        <f t="shared" si="61"/>
        <v>0</v>
      </c>
      <c r="Q625" s="680"/>
    </row>
    <row r="626" spans="2:17" ht="12.75">
      <c r="B626" s="330"/>
      <c r="C626" s="1258">
        <f>IF(D611="","-",+C625+1)</f>
        <v>2024</v>
      </c>
      <c r="D626" s="679">
        <f t="shared" si="62"/>
        <v>2713540.517241381</v>
      </c>
      <c r="E626" s="741">
        <f t="shared" si="63"/>
        <v>54270.81034482759</v>
      </c>
      <c r="F626" s="741">
        <f t="shared" si="56"/>
        <v>2659269.7068965537</v>
      </c>
      <c r="G626" s="679">
        <f t="shared" si="57"/>
        <v>2686405.1120689674</v>
      </c>
      <c r="H626" s="736">
        <f>+J612*G626+E626</f>
        <v>399766.13920051174</v>
      </c>
      <c r="I626" s="742">
        <f>+J613*G626+E626</f>
        <v>399766.13920051174</v>
      </c>
      <c r="J626" s="739">
        <f t="shared" si="58"/>
        <v>0</v>
      </c>
      <c r="K626" s="739"/>
      <c r="L626" s="1256"/>
      <c r="M626" s="739">
        <f t="shared" si="59"/>
        <v>0</v>
      </c>
      <c r="N626" s="1256"/>
      <c r="O626" s="739">
        <f t="shared" si="60"/>
        <v>0</v>
      </c>
      <c r="P626" s="739">
        <f t="shared" si="61"/>
        <v>0</v>
      </c>
      <c r="Q626" s="680"/>
    </row>
    <row r="627" spans="2:17" ht="12.75">
      <c r="B627" s="330"/>
      <c r="C627" s="735">
        <f>IF(D611="","-",+C626+1)</f>
        <v>2025</v>
      </c>
      <c r="D627" s="679">
        <f t="shared" si="62"/>
        <v>2659269.7068965537</v>
      </c>
      <c r="E627" s="741">
        <f t="shared" si="63"/>
        <v>54270.81034482759</v>
      </c>
      <c r="F627" s="741">
        <f t="shared" si="56"/>
        <v>2604998.8965517264</v>
      </c>
      <c r="G627" s="679">
        <f t="shared" si="57"/>
        <v>2632134.30172414</v>
      </c>
      <c r="H627" s="736">
        <f>+J612*G627+E627</f>
        <v>392786.43558726565</v>
      </c>
      <c r="I627" s="742">
        <f>+J613*G627+E627</f>
        <v>392786.43558726565</v>
      </c>
      <c r="J627" s="739">
        <f t="shared" si="58"/>
        <v>0</v>
      </c>
      <c r="K627" s="739"/>
      <c r="L627" s="743"/>
      <c r="M627" s="739">
        <f t="shared" si="59"/>
        <v>0</v>
      </c>
      <c r="N627" s="743"/>
      <c r="O627" s="739">
        <f t="shared" si="60"/>
        <v>0</v>
      </c>
      <c r="P627" s="739">
        <f t="shared" si="61"/>
        <v>0</v>
      </c>
      <c r="Q627" s="680"/>
    </row>
    <row r="628" spans="2:17" ht="12.75">
      <c r="B628" s="330"/>
      <c r="C628" s="735">
        <f>IF(D611="","-",+C627+1)</f>
        <v>2026</v>
      </c>
      <c r="D628" s="679">
        <f t="shared" si="62"/>
        <v>2604998.8965517264</v>
      </c>
      <c r="E628" s="741">
        <f t="shared" si="63"/>
        <v>54270.81034482759</v>
      </c>
      <c r="F628" s="741">
        <f t="shared" si="56"/>
        <v>2550728.086206899</v>
      </c>
      <c r="G628" s="679">
        <f t="shared" si="57"/>
        <v>2577863.4913793127</v>
      </c>
      <c r="H628" s="736">
        <f>+J612*G628+E628</f>
        <v>385806.73197401955</v>
      </c>
      <c r="I628" s="742">
        <f>+J613*G628+E628</f>
        <v>385806.73197401955</v>
      </c>
      <c r="J628" s="739">
        <f t="shared" si="58"/>
        <v>0</v>
      </c>
      <c r="K628" s="739"/>
      <c r="L628" s="743"/>
      <c r="M628" s="739">
        <f t="shared" si="59"/>
        <v>0</v>
      </c>
      <c r="N628" s="743"/>
      <c r="O628" s="739">
        <f t="shared" si="60"/>
        <v>0</v>
      </c>
      <c r="P628" s="739">
        <f t="shared" si="61"/>
        <v>0</v>
      </c>
      <c r="Q628" s="680"/>
    </row>
    <row r="629" spans="2:17" ht="12.75">
      <c r="B629" s="330"/>
      <c r="C629" s="735">
        <f>IF(D611="","-",+C628+1)</f>
        <v>2027</v>
      </c>
      <c r="D629" s="679">
        <f t="shared" si="62"/>
        <v>2550728.086206899</v>
      </c>
      <c r="E629" s="741">
        <f t="shared" si="63"/>
        <v>54270.81034482759</v>
      </c>
      <c r="F629" s="741">
        <f t="shared" si="56"/>
        <v>2496457.2758620717</v>
      </c>
      <c r="G629" s="679">
        <f t="shared" si="57"/>
        <v>2523592.6810344853</v>
      </c>
      <c r="H629" s="736">
        <f>+J612*G629+E629</f>
        <v>378827.0283607734</v>
      </c>
      <c r="I629" s="742">
        <f>+J613*G629+E629</f>
        <v>378827.0283607734</v>
      </c>
      <c r="J629" s="739">
        <f t="shared" si="58"/>
        <v>0</v>
      </c>
      <c r="K629" s="739"/>
      <c r="L629" s="743"/>
      <c r="M629" s="739">
        <f t="shared" si="59"/>
        <v>0</v>
      </c>
      <c r="N629" s="743"/>
      <c r="O629" s="739">
        <f t="shared" si="60"/>
        <v>0</v>
      </c>
      <c r="P629" s="739">
        <f t="shared" si="61"/>
        <v>0</v>
      </c>
      <c r="Q629" s="680"/>
    </row>
    <row r="630" spans="2:17" ht="12.75">
      <c r="B630" s="330"/>
      <c r="C630" s="735">
        <f>IF(D611="","-",+C629+1)</f>
        <v>2028</v>
      </c>
      <c r="D630" s="679">
        <f t="shared" si="62"/>
        <v>2496457.2758620717</v>
      </c>
      <c r="E630" s="741">
        <f t="shared" si="63"/>
        <v>54270.81034482759</v>
      </c>
      <c r="F630" s="741">
        <f t="shared" si="56"/>
        <v>2442186.4655172443</v>
      </c>
      <c r="G630" s="679">
        <f t="shared" si="57"/>
        <v>2469321.870689658</v>
      </c>
      <c r="H630" s="736">
        <f>+J612*G630+E630</f>
        <v>371847.3247475273</v>
      </c>
      <c r="I630" s="742">
        <f>+J613*G630+E630</f>
        <v>371847.3247475273</v>
      </c>
      <c r="J630" s="739">
        <f t="shared" si="58"/>
        <v>0</v>
      </c>
      <c r="K630" s="739"/>
      <c r="L630" s="743"/>
      <c r="M630" s="739">
        <f t="shared" si="59"/>
        <v>0</v>
      </c>
      <c r="N630" s="743"/>
      <c r="O630" s="739">
        <f t="shared" si="60"/>
        <v>0</v>
      </c>
      <c r="P630" s="739">
        <f t="shared" si="61"/>
        <v>0</v>
      </c>
      <c r="Q630" s="680"/>
    </row>
    <row r="631" spans="2:17" ht="12.75">
      <c r="B631" s="330"/>
      <c r="C631" s="735">
        <f>IF(D611="","-",+C630+1)</f>
        <v>2029</v>
      </c>
      <c r="D631" s="679">
        <f t="shared" si="62"/>
        <v>2442186.4655172443</v>
      </c>
      <c r="E631" s="741">
        <f t="shared" si="63"/>
        <v>54270.81034482759</v>
      </c>
      <c r="F631" s="741">
        <f t="shared" si="56"/>
        <v>2387915.655172417</v>
      </c>
      <c r="G631" s="679">
        <f t="shared" si="57"/>
        <v>2415051.0603448306</v>
      </c>
      <c r="H631" s="736">
        <f>+J612*G631+E631</f>
        <v>364867.6211342812</v>
      </c>
      <c r="I631" s="742">
        <f>+J613*G631+E631</f>
        <v>364867.6211342812</v>
      </c>
      <c r="J631" s="739">
        <f t="shared" si="58"/>
        <v>0</v>
      </c>
      <c r="K631" s="739"/>
      <c r="L631" s="743"/>
      <c r="M631" s="739">
        <f t="shared" si="59"/>
        <v>0</v>
      </c>
      <c r="N631" s="743"/>
      <c r="O631" s="739">
        <f t="shared" si="60"/>
        <v>0</v>
      </c>
      <c r="P631" s="739">
        <f t="shared" si="61"/>
        <v>0</v>
      </c>
      <c r="Q631" s="680"/>
    </row>
    <row r="632" spans="2:17" ht="12.75">
      <c r="B632" s="330"/>
      <c r="C632" s="735">
        <f>IF(D611="","-",+C631+1)</f>
        <v>2030</v>
      </c>
      <c r="D632" s="679">
        <f t="shared" si="62"/>
        <v>2387915.655172417</v>
      </c>
      <c r="E632" s="741">
        <f t="shared" si="63"/>
        <v>54270.81034482759</v>
      </c>
      <c r="F632" s="741">
        <f t="shared" si="56"/>
        <v>2333644.8448275896</v>
      </c>
      <c r="G632" s="679">
        <f t="shared" si="57"/>
        <v>2360780.2500000033</v>
      </c>
      <c r="H632" s="736">
        <f>+J612*G632+E632</f>
        <v>357887.91752103507</v>
      </c>
      <c r="I632" s="742">
        <f>+J613*G632+E632</f>
        <v>357887.91752103507</v>
      </c>
      <c r="J632" s="739">
        <f t="shared" si="58"/>
        <v>0</v>
      </c>
      <c r="K632" s="739"/>
      <c r="L632" s="743"/>
      <c r="M632" s="739">
        <f t="shared" si="59"/>
        <v>0</v>
      </c>
      <c r="N632" s="743"/>
      <c r="O632" s="739">
        <f t="shared" si="60"/>
        <v>0</v>
      </c>
      <c r="P632" s="739">
        <f t="shared" si="61"/>
        <v>0</v>
      </c>
      <c r="Q632" s="680"/>
    </row>
    <row r="633" spans="2:17" ht="12.75">
      <c r="B633" s="330"/>
      <c r="C633" s="735">
        <f>IF(D611="","-",+C632+1)</f>
        <v>2031</v>
      </c>
      <c r="D633" s="679">
        <f t="shared" si="62"/>
        <v>2333644.8448275896</v>
      </c>
      <c r="E633" s="741">
        <f t="shared" si="63"/>
        <v>54270.81034482759</v>
      </c>
      <c r="F633" s="741">
        <f t="shared" si="56"/>
        <v>2279374.034482762</v>
      </c>
      <c r="G633" s="679">
        <f t="shared" si="57"/>
        <v>2306509.439655176</v>
      </c>
      <c r="H633" s="736">
        <f>+J612*G633+E633</f>
        <v>350908.213907789</v>
      </c>
      <c r="I633" s="742">
        <f>+J613*G633+E633</f>
        <v>350908.213907789</v>
      </c>
      <c r="J633" s="739">
        <f t="shared" si="58"/>
        <v>0</v>
      </c>
      <c r="K633" s="739"/>
      <c r="L633" s="743"/>
      <c r="M633" s="739">
        <f t="shared" si="59"/>
        <v>0</v>
      </c>
      <c r="N633" s="743"/>
      <c r="O633" s="739">
        <f t="shared" si="60"/>
        <v>0</v>
      </c>
      <c r="P633" s="739">
        <f t="shared" si="61"/>
        <v>0</v>
      </c>
      <c r="Q633" s="680"/>
    </row>
    <row r="634" spans="2:17" ht="12.75">
      <c r="B634" s="330"/>
      <c r="C634" s="735">
        <f>IF(D611="","-",+C633+1)</f>
        <v>2032</v>
      </c>
      <c r="D634" s="679">
        <f t="shared" si="62"/>
        <v>2279374.034482762</v>
      </c>
      <c r="E634" s="741">
        <f t="shared" si="63"/>
        <v>54270.81034482759</v>
      </c>
      <c r="F634" s="741">
        <f t="shared" si="56"/>
        <v>2225103.224137935</v>
      </c>
      <c r="G634" s="679">
        <f t="shared" si="57"/>
        <v>2252238.6293103485</v>
      </c>
      <c r="H634" s="736">
        <f>+J612*G634+E634</f>
        <v>343928.5102945429</v>
      </c>
      <c r="I634" s="742">
        <f>+J613*G634+E634</f>
        <v>343928.5102945429</v>
      </c>
      <c r="J634" s="739">
        <f t="shared" si="58"/>
        <v>0</v>
      </c>
      <c r="K634" s="739"/>
      <c r="L634" s="743"/>
      <c r="M634" s="739">
        <f t="shared" si="59"/>
        <v>0</v>
      </c>
      <c r="N634" s="743"/>
      <c r="O634" s="739">
        <f t="shared" si="60"/>
        <v>0</v>
      </c>
      <c r="P634" s="739">
        <f t="shared" si="61"/>
        <v>0</v>
      </c>
      <c r="Q634" s="680"/>
    </row>
    <row r="635" spans="2:17" ht="12.75">
      <c r="B635" s="330"/>
      <c r="C635" s="735">
        <f>IF(D611="","-",+C634+1)</f>
        <v>2033</v>
      </c>
      <c r="D635" s="679">
        <f t="shared" si="62"/>
        <v>2225103.224137935</v>
      </c>
      <c r="E635" s="741">
        <f t="shared" si="63"/>
        <v>54270.81034482759</v>
      </c>
      <c r="F635" s="741">
        <f t="shared" si="56"/>
        <v>2170832.4137931075</v>
      </c>
      <c r="G635" s="679">
        <f t="shared" si="57"/>
        <v>2197967.818965521</v>
      </c>
      <c r="H635" s="736">
        <f>+J612*G635+E635</f>
        <v>336948.8066812968</v>
      </c>
      <c r="I635" s="742">
        <f>+J613*G635+E635</f>
        <v>336948.8066812968</v>
      </c>
      <c r="J635" s="739">
        <f t="shared" si="58"/>
        <v>0</v>
      </c>
      <c r="K635" s="739"/>
      <c r="L635" s="743"/>
      <c r="M635" s="739">
        <f t="shared" si="59"/>
        <v>0</v>
      </c>
      <c r="N635" s="743"/>
      <c r="O635" s="739">
        <f t="shared" si="60"/>
        <v>0</v>
      </c>
      <c r="P635" s="739">
        <f t="shared" si="61"/>
        <v>0</v>
      </c>
      <c r="Q635" s="680"/>
    </row>
    <row r="636" spans="2:17" ht="12.75">
      <c r="B636" s="330"/>
      <c r="C636" s="735">
        <f>IF(D611="","-",+C635+1)</f>
        <v>2034</v>
      </c>
      <c r="D636" s="679">
        <f t="shared" si="62"/>
        <v>2170832.4137931075</v>
      </c>
      <c r="E636" s="741">
        <f t="shared" si="63"/>
        <v>54270.81034482759</v>
      </c>
      <c r="F636" s="741">
        <f t="shared" si="56"/>
        <v>2116561.60344828</v>
      </c>
      <c r="G636" s="679">
        <f t="shared" si="57"/>
        <v>2143697.008620694</v>
      </c>
      <c r="H636" s="736">
        <f>+J612*G636+E636</f>
        <v>329969.10306805064</v>
      </c>
      <c r="I636" s="742">
        <f>+J613*G636+E636</f>
        <v>329969.10306805064</v>
      </c>
      <c r="J636" s="739">
        <f t="shared" si="58"/>
        <v>0</v>
      </c>
      <c r="K636" s="739"/>
      <c r="L636" s="743"/>
      <c r="M636" s="739">
        <f t="shared" si="59"/>
        <v>0</v>
      </c>
      <c r="N636" s="743"/>
      <c r="O636" s="739">
        <f t="shared" si="60"/>
        <v>0</v>
      </c>
      <c r="P636" s="739">
        <f t="shared" si="61"/>
        <v>0</v>
      </c>
      <c r="Q636" s="680"/>
    </row>
    <row r="637" spans="2:17" ht="12.75">
      <c r="B637" s="330"/>
      <c r="C637" s="735">
        <f>IF(D611="","-",+C636+1)</f>
        <v>2035</v>
      </c>
      <c r="D637" s="679">
        <f t="shared" si="62"/>
        <v>2116561.60344828</v>
      </c>
      <c r="E637" s="741">
        <f t="shared" si="63"/>
        <v>54270.81034482759</v>
      </c>
      <c r="F637" s="741">
        <f t="shared" si="56"/>
        <v>2062290.7931034525</v>
      </c>
      <c r="G637" s="679">
        <f t="shared" si="57"/>
        <v>2089426.1982758665</v>
      </c>
      <c r="H637" s="736">
        <f>+J612*G637+E637</f>
        <v>322989.39945480454</v>
      </c>
      <c r="I637" s="742">
        <f>+J613*G637+E637</f>
        <v>322989.39945480454</v>
      </c>
      <c r="J637" s="739">
        <f t="shared" si="58"/>
        <v>0</v>
      </c>
      <c r="K637" s="739"/>
      <c r="L637" s="743"/>
      <c r="M637" s="739">
        <f t="shared" si="59"/>
        <v>0</v>
      </c>
      <c r="N637" s="743"/>
      <c r="O637" s="739">
        <f t="shared" si="60"/>
        <v>0</v>
      </c>
      <c r="P637" s="739">
        <f t="shared" si="61"/>
        <v>0</v>
      </c>
      <c r="Q637" s="680"/>
    </row>
    <row r="638" spans="2:17" ht="12.75">
      <c r="B638" s="330"/>
      <c r="C638" s="735">
        <f>IF(D611="","-",+C637+1)</f>
        <v>2036</v>
      </c>
      <c r="D638" s="679">
        <f t="shared" si="62"/>
        <v>2062290.7931034525</v>
      </c>
      <c r="E638" s="741">
        <f t="shared" si="63"/>
        <v>54270.81034482759</v>
      </c>
      <c r="F638" s="741">
        <f t="shared" si="56"/>
        <v>2008019.982758625</v>
      </c>
      <c r="G638" s="679">
        <f t="shared" si="57"/>
        <v>2035155.3879310386</v>
      </c>
      <c r="H638" s="736">
        <f>+J612*G638+E638</f>
        <v>316009.69584155834</v>
      </c>
      <c r="I638" s="742">
        <f>+J613*G638+E638</f>
        <v>316009.69584155834</v>
      </c>
      <c r="J638" s="739">
        <f t="shared" si="58"/>
        <v>0</v>
      </c>
      <c r="K638" s="739"/>
      <c r="L638" s="743"/>
      <c r="M638" s="739">
        <f t="shared" si="59"/>
        <v>0</v>
      </c>
      <c r="N638" s="743"/>
      <c r="O638" s="739">
        <f t="shared" si="60"/>
        <v>0</v>
      </c>
      <c r="P638" s="739">
        <f t="shared" si="61"/>
        <v>0</v>
      </c>
      <c r="Q638" s="680"/>
    </row>
    <row r="639" spans="2:17" ht="12.75">
      <c r="B639" s="330"/>
      <c r="C639" s="735">
        <f>IF(D611="","-",+C638+1)</f>
        <v>2037</v>
      </c>
      <c r="D639" s="679">
        <f t="shared" si="62"/>
        <v>2008019.982758625</v>
      </c>
      <c r="E639" s="741">
        <f t="shared" si="63"/>
        <v>54270.81034482759</v>
      </c>
      <c r="F639" s="741">
        <f t="shared" si="56"/>
        <v>1953749.1724137974</v>
      </c>
      <c r="G639" s="679">
        <f t="shared" si="57"/>
        <v>1980884.5775862113</v>
      </c>
      <c r="H639" s="736">
        <f>+J612*G639+E639</f>
        <v>309029.99222831224</v>
      </c>
      <c r="I639" s="742">
        <f>+J613*G639+E639</f>
        <v>309029.99222831224</v>
      </c>
      <c r="J639" s="739">
        <f t="shared" si="58"/>
        <v>0</v>
      </c>
      <c r="K639" s="739"/>
      <c r="L639" s="743"/>
      <c r="M639" s="739">
        <f t="shared" si="59"/>
        <v>0</v>
      </c>
      <c r="N639" s="743"/>
      <c r="O639" s="739">
        <f t="shared" si="60"/>
        <v>0</v>
      </c>
      <c r="P639" s="739">
        <f t="shared" si="61"/>
        <v>0</v>
      </c>
      <c r="Q639" s="680"/>
    </row>
    <row r="640" spans="2:17" ht="12.75">
      <c r="B640" s="330"/>
      <c r="C640" s="735">
        <f>IF(D611="","-",+C639+1)</f>
        <v>2038</v>
      </c>
      <c r="D640" s="679">
        <f t="shared" si="62"/>
        <v>1953749.1724137974</v>
      </c>
      <c r="E640" s="741">
        <f t="shared" si="63"/>
        <v>54270.81034482759</v>
      </c>
      <c r="F640" s="741">
        <f t="shared" si="56"/>
        <v>1899478.3620689698</v>
      </c>
      <c r="G640" s="679">
        <f t="shared" si="57"/>
        <v>1926613.7672413834</v>
      </c>
      <c r="H640" s="736">
        <f>+J612*G640+E640</f>
        <v>302050.2886150661</v>
      </c>
      <c r="I640" s="742">
        <f>+J613*G640+E640</f>
        <v>302050.2886150661</v>
      </c>
      <c r="J640" s="739">
        <f t="shared" si="58"/>
        <v>0</v>
      </c>
      <c r="K640" s="739"/>
      <c r="L640" s="743"/>
      <c r="M640" s="739">
        <f t="shared" si="59"/>
        <v>0</v>
      </c>
      <c r="N640" s="743"/>
      <c r="O640" s="739">
        <f t="shared" si="60"/>
        <v>0</v>
      </c>
      <c r="P640" s="739">
        <f t="shared" si="61"/>
        <v>0</v>
      </c>
      <c r="Q640" s="680"/>
    </row>
    <row r="641" spans="2:17" ht="12.75">
      <c r="B641" s="330"/>
      <c r="C641" s="735">
        <f>IF(D611="","-",+C640+1)</f>
        <v>2039</v>
      </c>
      <c r="D641" s="679">
        <f t="shared" si="62"/>
        <v>1899478.3620689698</v>
      </c>
      <c r="E641" s="741">
        <f t="shared" si="63"/>
        <v>54270.81034482759</v>
      </c>
      <c r="F641" s="741">
        <f t="shared" si="56"/>
        <v>1845207.5517241422</v>
      </c>
      <c r="G641" s="679">
        <f t="shared" si="57"/>
        <v>1872342.956896556</v>
      </c>
      <c r="H641" s="736">
        <f>+J612*G641+E641</f>
        <v>295070.58500181994</v>
      </c>
      <c r="I641" s="742">
        <f>+J613*G641+E641</f>
        <v>295070.58500181994</v>
      </c>
      <c r="J641" s="739">
        <f t="shared" si="58"/>
        <v>0</v>
      </c>
      <c r="K641" s="739"/>
      <c r="L641" s="743"/>
      <c r="M641" s="739">
        <f t="shared" si="59"/>
        <v>0</v>
      </c>
      <c r="N641" s="743"/>
      <c r="O641" s="739">
        <f t="shared" si="60"/>
        <v>0</v>
      </c>
      <c r="P641" s="739">
        <f t="shared" si="61"/>
        <v>0</v>
      </c>
      <c r="Q641" s="680"/>
    </row>
    <row r="642" spans="2:17" ht="12.75">
      <c r="B642" s="330"/>
      <c r="C642" s="735">
        <f>IF(D611="","-",+C641+1)</f>
        <v>2040</v>
      </c>
      <c r="D642" s="679">
        <f t="shared" si="62"/>
        <v>1845207.5517241422</v>
      </c>
      <c r="E642" s="741">
        <f t="shared" si="63"/>
        <v>54270.81034482759</v>
      </c>
      <c r="F642" s="741">
        <f t="shared" si="56"/>
        <v>1790936.7413793146</v>
      </c>
      <c r="G642" s="679">
        <f t="shared" si="57"/>
        <v>1818072.1465517282</v>
      </c>
      <c r="H642" s="736">
        <f>+J612*G642+E642</f>
        <v>288090.8813885738</v>
      </c>
      <c r="I642" s="742">
        <f>+J613*G642+E642</f>
        <v>288090.8813885738</v>
      </c>
      <c r="J642" s="739">
        <f t="shared" si="58"/>
        <v>0</v>
      </c>
      <c r="K642" s="739"/>
      <c r="L642" s="743"/>
      <c r="M642" s="739">
        <f t="shared" si="59"/>
        <v>0</v>
      </c>
      <c r="N642" s="743"/>
      <c r="O642" s="739">
        <f t="shared" si="60"/>
        <v>0</v>
      </c>
      <c r="P642" s="739">
        <f t="shared" si="61"/>
        <v>0</v>
      </c>
      <c r="Q642" s="680"/>
    </row>
    <row r="643" spans="2:17" ht="12.75">
      <c r="B643" s="330"/>
      <c r="C643" s="735">
        <f>IF(D611="","-",+C642+1)</f>
        <v>2041</v>
      </c>
      <c r="D643" s="679">
        <f t="shared" si="62"/>
        <v>1790936.7413793146</v>
      </c>
      <c r="E643" s="741">
        <f t="shared" si="63"/>
        <v>54270.81034482759</v>
      </c>
      <c r="F643" s="741">
        <f t="shared" si="56"/>
        <v>1736665.931034487</v>
      </c>
      <c r="G643" s="679">
        <f t="shared" si="57"/>
        <v>1763801.336206901</v>
      </c>
      <c r="H643" s="736">
        <f>+J612*G643+E643</f>
        <v>281111.1777753277</v>
      </c>
      <c r="I643" s="742">
        <f>+J613*G643+E643</f>
        <v>281111.1777753277</v>
      </c>
      <c r="J643" s="739">
        <f t="shared" si="58"/>
        <v>0</v>
      </c>
      <c r="K643" s="739"/>
      <c r="L643" s="743"/>
      <c r="M643" s="739">
        <f t="shared" si="59"/>
        <v>0</v>
      </c>
      <c r="N643" s="743"/>
      <c r="O643" s="739">
        <f t="shared" si="60"/>
        <v>0</v>
      </c>
      <c r="P643" s="739">
        <f t="shared" si="61"/>
        <v>0</v>
      </c>
      <c r="Q643" s="680"/>
    </row>
    <row r="644" spans="2:17" ht="12.75">
      <c r="B644" s="330"/>
      <c r="C644" s="735">
        <f>IF(D611="","-",+C643+1)</f>
        <v>2042</v>
      </c>
      <c r="D644" s="679">
        <f t="shared" si="62"/>
        <v>1736665.931034487</v>
      </c>
      <c r="E644" s="741">
        <f t="shared" si="63"/>
        <v>54270.81034482759</v>
      </c>
      <c r="F644" s="741">
        <f t="shared" si="56"/>
        <v>1682395.1206896594</v>
      </c>
      <c r="G644" s="679">
        <f t="shared" si="57"/>
        <v>1709530.525862073</v>
      </c>
      <c r="H644" s="736">
        <f>+J612*G644+E644</f>
        <v>274131.4741620815</v>
      </c>
      <c r="I644" s="742">
        <f>+J613*G644+E644</f>
        <v>274131.4741620815</v>
      </c>
      <c r="J644" s="739">
        <f t="shared" si="58"/>
        <v>0</v>
      </c>
      <c r="K644" s="739"/>
      <c r="L644" s="743"/>
      <c r="M644" s="739">
        <f t="shared" si="59"/>
        <v>0</v>
      </c>
      <c r="N644" s="743"/>
      <c r="O644" s="739">
        <f t="shared" si="60"/>
        <v>0</v>
      </c>
      <c r="P644" s="739">
        <f t="shared" si="61"/>
        <v>0</v>
      </c>
      <c r="Q644" s="680"/>
    </row>
    <row r="645" spans="2:17" ht="12.75">
      <c r="B645" s="330"/>
      <c r="C645" s="735">
        <f>IF(D611="","-",+C644+1)</f>
        <v>2043</v>
      </c>
      <c r="D645" s="679">
        <f t="shared" si="62"/>
        <v>1682395.1206896594</v>
      </c>
      <c r="E645" s="741">
        <f t="shared" si="63"/>
        <v>54270.81034482759</v>
      </c>
      <c r="F645" s="741">
        <f t="shared" si="56"/>
        <v>1628124.3103448318</v>
      </c>
      <c r="G645" s="679">
        <f t="shared" si="57"/>
        <v>1655259.7155172457</v>
      </c>
      <c r="H645" s="736">
        <f>+J612*G645+E645</f>
        <v>267151.7705488354</v>
      </c>
      <c r="I645" s="742">
        <f>+J613*G645+E645</f>
        <v>267151.7705488354</v>
      </c>
      <c r="J645" s="739">
        <f t="shared" si="58"/>
        <v>0</v>
      </c>
      <c r="K645" s="739"/>
      <c r="L645" s="743"/>
      <c r="M645" s="739">
        <f t="shared" si="59"/>
        <v>0</v>
      </c>
      <c r="N645" s="743"/>
      <c r="O645" s="739">
        <f t="shared" si="60"/>
        <v>0</v>
      </c>
      <c r="P645" s="739">
        <f t="shared" si="61"/>
        <v>0</v>
      </c>
      <c r="Q645" s="680"/>
    </row>
    <row r="646" spans="2:17" ht="12.75">
      <c r="B646" s="330"/>
      <c r="C646" s="735">
        <f>IF(D611="","-",+C645+1)</f>
        <v>2044</v>
      </c>
      <c r="D646" s="679">
        <f t="shared" si="62"/>
        <v>1628124.3103448318</v>
      </c>
      <c r="E646" s="741">
        <f t="shared" si="63"/>
        <v>54270.81034482759</v>
      </c>
      <c r="F646" s="741">
        <f t="shared" si="56"/>
        <v>1573853.5000000042</v>
      </c>
      <c r="G646" s="679">
        <f t="shared" si="57"/>
        <v>1600988.9051724179</v>
      </c>
      <c r="H646" s="736">
        <f>+J612*G646+E646</f>
        <v>260172.06693558925</v>
      </c>
      <c r="I646" s="742">
        <f>+J613*G646+E646</f>
        <v>260172.06693558925</v>
      </c>
      <c r="J646" s="739">
        <f t="shared" si="58"/>
        <v>0</v>
      </c>
      <c r="K646" s="739"/>
      <c r="L646" s="743"/>
      <c r="M646" s="739">
        <f t="shared" si="59"/>
        <v>0</v>
      </c>
      <c r="N646" s="743"/>
      <c r="O646" s="739">
        <f t="shared" si="60"/>
        <v>0</v>
      </c>
      <c r="P646" s="739">
        <f t="shared" si="61"/>
        <v>0</v>
      </c>
      <c r="Q646" s="680"/>
    </row>
    <row r="647" spans="2:17" ht="12.75">
      <c r="B647" s="330"/>
      <c r="C647" s="735">
        <f>IF(D611="","-",+C646+1)</f>
        <v>2045</v>
      </c>
      <c r="D647" s="679">
        <f t="shared" si="62"/>
        <v>1573853.5000000042</v>
      </c>
      <c r="E647" s="741">
        <f t="shared" si="63"/>
        <v>54270.81034482759</v>
      </c>
      <c r="F647" s="741">
        <f t="shared" si="56"/>
        <v>1519582.6896551766</v>
      </c>
      <c r="G647" s="679">
        <f t="shared" si="57"/>
        <v>1546718.0948275905</v>
      </c>
      <c r="H647" s="736">
        <f>+J612*G647+E647</f>
        <v>253192.36332234312</v>
      </c>
      <c r="I647" s="742">
        <f>+J613*G647+E647</f>
        <v>253192.36332234312</v>
      </c>
      <c r="J647" s="739">
        <f t="shared" si="58"/>
        <v>0</v>
      </c>
      <c r="K647" s="739"/>
      <c r="L647" s="743"/>
      <c r="M647" s="739">
        <f t="shared" si="59"/>
        <v>0</v>
      </c>
      <c r="N647" s="743"/>
      <c r="O647" s="739">
        <f t="shared" si="60"/>
        <v>0</v>
      </c>
      <c r="P647" s="739">
        <f t="shared" si="61"/>
        <v>0</v>
      </c>
      <c r="Q647" s="680"/>
    </row>
    <row r="648" spans="2:17" ht="12.75">
      <c r="B648" s="330"/>
      <c r="C648" s="735">
        <f>IF(D611="","-",+C647+1)</f>
        <v>2046</v>
      </c>
      <c r="D648" s="679">
        <f t="shared" si="62"/>
        <v>1519582.6896551766</v>
      </c>
      <c r="E648" s="741">
        <f t="shared" si="63"/>
        <v>54270.81034482759</v>
      </c>
      <c r="F648" s="741">
        <f t="shared" si="56"/>
        <v>1465311.879310349</v>
      </c>
      <c r="G648" s="679">
        <f t="shared" si="57"/>
        <v>1492447.2844827627</v>
      </c>
      <c r="H648" s="736">
        <f>+J612*G648+E648</f>
        <v>246212.65970909697</v>
      </c>
      <c r="I648" s="742">
        <f>+J613*G648+E648</f>
        <v>246212.65970909697</v>
      </c>
      <c r="J648" s="739">
        <f t="shared" si="58"/>
        <v>0</v>
      </c>
      <c r="K648" s="739"/>
      <c r="L648" s="743"/>
      <c r="M648" s="739">
        <f t="shared" si="59"/>
        <v>0</v>
      </c>
      <c r="N648" s="743"/>
      <c r="O648" s="739">
        <f t="shared" si="60"/>
        <v>0</v>
      </c>
      <c r="P648" s="739">
        <f t="shared" si="61"/>
        <v>0</v>
      </c>
      <c r="Q648" s="680"/>
    </row>
    <row r="649" spans="2:17" ht="12.75">
      <c r="B649" s="330"/>
      <c r="C649" s="735">
        <f>IF(D611="","-",+C648+1)</f>
        <v>2047</v>
      </c>
      <c r="D649" s="679">
        <f t="shared" si="62"/>
        <v>1465311.879310349</v>
      </c>
      <c r="E649" s="741">
        <f t="shared" si="63"/>
        <v>54270.81034482759</v>
      </c>
      <c r="F649" s="741">
        <f t="shared" si="56"/>
        <v>1411041.0689655214</v>
      </c>
      <c r="G649" s="679">
        <f t="shared" si="57"/>
        <v>1438176.4741379353</v>
      </c>
      <c r="H649" s="736">
        <f>+J612*G649+E649</f>
        <v>239232.95609585085</v>
      </c>
      <c r="I649" s="742">
        <f>+J613*G649+E649</f>
        <v>239232.95609585085</v>
      </c>
      <c r="J649" s="739">
        <f t="shared" si="58"/>
        <v>0</v>
      </c>
      <c r="K649" s="739"/>
      <c r="L649" s="743"/>
      <c r="M649" s="739">
        <f t="shared" si="59"/>
        <v>0</v>
      </c>
      <c r="N649" s="743"/>
      <c r="O649" s="739">
        <f t="shared" si="60"/>
        <v>0</v>
      </c>
      <c r="P649" s="739">
        <f t="shared" si="61"/>
        <v>0</v>
      </c>
      <c r="Q649" s="680"/>
    </row>
    <row r="650" spans="2:17" ht="12.75">
      <c r="B650" s="330"/>
      <c r="C650" s="735">
        <f>IF(D611="","-",+C649+1)</f>
        <v>2048</v>
      </c>
      <c r="D650" s="679">
        <f t="shared" si="62"/>
        <v>1411041.0689655214</v>
      </c>
      <c r="E650" s="741">
        <f t="shared" si="63"/>
        <v>54270.81034482759</v>
      </c>
      <c r="F650" s="741">
        <f t="shared" si="56"/>
        <v>1356770.2586206938</v>
      </c>
      <c r="G650" s="679">
        <f t="shared" si="57"/>
        <v>1383905.6637931075</v>
      </c>
      <c r="H650" s="736">
        <f>+J612*G650+E650</f>
        <v>232253.25248260467</v>
      </c>
      <c r="I650" s="742">
        <f>+J613*G650+E650</f>
        <v>232253.25248260467</v>
      </c>
      <c r="J650" s="739">
        <f t="shared" si="58"/>
        <v>0</v>
      </c>
      <c r="K650" s="739"/>
      <c r="L650" s="743"/>
      <c r="M650" s="739">
        <f t="shared" si="59"/>
        <v>0</v>
      </c>
      <c r="N650" s="743"/>
      <c r="O650" s="739">
        <f t="shared" si="60"/>
        <v>0</v>
      </c>
      <c r="P650" s="739">
        <f t="shared" si="61"/>
        <v>0</v>
      </c>
      <c r="Q650" s="680"/>
    </row>
    <row r="651" spans="2:17" ht="12.75">
      <c r="B651" s="330"/>
      <c r="C651" s="735">
        <f>IF(D611="","-",+C650+1)</f>
        <v>2049</v>
      </c>
      <c r="D651" s="679">
        <f t="shared" si="62"/>
        <v>1356770.2586206938</v>
      </c>
      <c r="E651" s="741">
        <f t="shared" si="63"/>
        <v>54270.81034482759</v>
      </c>
      <c r="F651" s="741">
        <f t="shared" si="56"/>
        <v>1302499.4482758662</v>
      </c>
      <c r="G651" s="679">
        <f t="shared" si="57"/>
        <v>1329634.8534482801</v>
      </c>
      <c r="H651" s="736">
        <f>+J612*G651+E651</f>
        <v>225273.54886935858</v>
      </c>
      <c r="I651" s="742">
        <f>+J613*G651+E651</f>
        <v>225273.54886935858</v>
      </c>
      <c r="J651" s="739">
        <f t="shared" si="58"/>
        <v>0</v>
      </c>
      <c r="K651" s="739"/>
      <c r="L651" s="743"/>
      <c r="M651" s="739">
        <f t="shared" si="59"/>
        <v>0</v>
      </c>
      <c r="N651" s="743"/>
      <c r="O651" s="739">
        <f t="shared" si="60"/>
        <v>0</v>
      </c>
      <c r="P651" s="739">
        <f t="shared" si="61"/>
        <v>0</v>
      </c>
      <c r="Q651" s="680"/>
    </row>
    <row r="652" spans="2:17" ht="12.75">
      <c r="B652" s="330"/>
      <c r="C652" s="735">
        <f>IF(D611="","-",+C651+1)</f>
        <v>2050</v>
      </c>
      <c r="D652" s="679">
        <f t="shared" si="62"/>
        <v>1302499.4482758662</v>
      </c>
      <c r="E652" s="741">
        <f t="shared" si="63"/>
        <v>54270.81034482759</v>
      </c>
      <c r="F652" s="741">
        <f t="shared" si="56"/>
        <v>1248228.6379310386</v>
      </c>
      <c r="G652" s="679">
        <f t="shared" si="57"/>
        <v>1275364.0431034523</v>
      </c>
      <c r="H652" s="736">
        <f>+J612*G652+E652</f>
        <v>218293.8452561124</v>
      </c>
      <c r="I652" s="742">
        <f>+J613*G652+E652</f>
        <v>218293.8452561124</v>
      </c>
      <c r="J652" s="739">
        <f t="shared" si="58"/>
        <v>0</v>
      </c>
      <c r="K652" s="739"/>
      <c r="L652" s="743"/>
      <c r="M652" s="739">
        <f t="shared" si="59"/>
        <v>0</v>
      </c>
      <c r="N652" s="743"/>
      <c r="O652" s="739">
        <f t="shared" si="60"/>
        <v>0</v>
      </c>
      <c r="P652" s="739">
        <f t="shared" si="61"/>
        <v>0</v>
      </c>
      <c r="Q652" s="680"/>
    </row>
    <row r="653" spans="2:17" ht="12.75">
      <c r="B653" s="330"/>
      <c r="C653" s="735">
        <f>IF(D611="","-",+C652+1)</f>
        <v>2051</v>
      </c>
      <c r="D653" s="679">
        <f t="shared" si="62"/>
        <v>1248228.6379310386</v>
      </c>
      <c r="E653" s="741">
        <f t="shared" si="63"/>
        <v>54270.81034482759</v>
      </c>
      <c r="F653" s="741">
        <f t="shared" si="56"/>
        <v>1193957.827586211</v>
      </c>
      <c r="G653" s="679">
        <f t="shared" si="57"/>
        <v>1221093.232758625</v>
      </c>
      <c r="H653" s="736">
        <f>+J612*G653+E653</f>
        <v>211314.14164286628</v>
      </c>
      <c r="I653" s="742">
        <f>+J613*G653+E653</f>
        <v>211314.14164286628</v>
      </c>
      <c r="J653" s="739">
        <f t="shared" si="58"/>
        <v>0</v>
      </c>
      <c r="K653" s="739"/>
      <c r="L653" s="743"/>
      <c r="M653" s="739">
        <f t="shared" si="59"/>
        <v>0</v>
      </c>
      <c r="N653" s="743"/>
      <c r="O653" s="739">
        <f t="shared" si="60"/>
        <v>0</v>
      </c>
      <c r="P653" s="739">
        <f t="shared" si="61"/>
        <v>0</v>
      </c>
      <c r="Q653" s="680"/>
    </row>
    <row r="654" spans="2:17" ht="12.75">
      <c r="B654" s="330"/>
      <c r="C654" s="735">
        <f>IF(D611="","-",+C653+1)</f>
        <v>2052</v>
      </c>
      <c r="D654" s="679">
        <f t="shared" si="62"/>
        <v>1193957.827586211</v>
      </c>
      <c r="E654" s="741">
        <f t="shared" si="63"/>
        <v>54270.81034482759</v>
      </c>
      <c r="F654" s="741">
        <f t="shared" si="56"/>
        <v>1139687.0172413834</v>
      </c>
      <c r="G654" s="679">
        <f t="shared" si="57"/>
        <v>1166822.4224137971</v>
      </c>
      <c r="H654" s="736">
        <f>+J612*G654+E654</f>
        <v>204334.43802962013</v>
      </c>
      <c r="I654" s="742">
        <f>+J613*G654+E654</f>
        <v>204334.43802962013</v>
      </c>
      <c r="J654" s="739">
        <f t="shared" si="58"/>
        <v>0</v>
      </c>
      <c r="K654" s="739"/>
      <c r="L654" s="743"/>
      <c r="M654" s="739">
        <f t="shared" si="59"/>
        <v>0</v>
      </c>
      <c r="N654" s="743"/>
      <c r="O654" s="739">
        <f t="shared" si="60"/>
        <v>0</v>
      </c>
      <c r="P654" s="739">
        <f t="shared" si="61"/>
        <v>0</v>
      </c>
      <c r="Q654" s="680"/>
    </row>
    <row r="655" spans="2:17" ht="12.75">
      <c r="B655" s="330"/>
      <c r="C655" s="735">
        <f>IF(D611="","-",+C654+1)</f>
        <v>2053</v>
      </c>
      <c r="D655" s="679">
        <f t="shared" si="62"/>
        <v>1139687.0172413834</v>
      </c>
      <c r="E655" s="741">
        <f t="shared" si="63"/>
        <v>54270.81034482759</v>
      </c>
      <c r="F655" s="741">
        <f t="shared" si="56"/>
        <v>1085416.2068965558</v>
      </c>
      <c r="G655" s="679">
        <f t="shared" si="57"/>
        <v>1112551.6120689698</v>
      </c>
      <c r="H655" s="736">
        <f>+J612*G655+E655</f>
        <v>197354.734416374</v>
      </c>
      <c r="I655" s="742">
        <f>+J613*G655+E655</f>
        <v>197354.734416374</v>
      </c>
      <c r="J655" s="739">
        <f t="shared" si="58"/>
        <v>0</v>
      </c>
      <c r="K655" s="739"/>
      <c r="L655" s="743"/>
      <c r="M655" s="739">
        <f t="shared" si="59"/>
        <v>0</v>
      </c>
      <c r="N655" s="743"/>
      <c r="O655" s="739">
        <f t="shared" si="60"/>
        <v>0</v>
      </c>
      <c r="P655" s="739">
        <f t="shared" si="61"/>
        <v>0</v>
      </c>
      <c r="Q655" s="680"/>
    </row>
    <row r="656" spans="2:17" ht="12.75">
      <c r="B656" s="330"/>
      <c r="C656" s="735">
        <f>IF(D611="","-",+C655+1)</f>
        <v>2054</v>
      </c>
      <c r="D656" s="679">
        <f t="shared" si="62"/>
        <v>1085416.2068965558</v>
      </c>
      <c r="E656" s="741">
        <f t="shared" si="63"/>
        <v>54270.81034482759</v>
      </c>
      <c r="F656" s="741">
        <f t="shared" si="56"/>
        <v>1031145.3965517282</v>
      </c>
      <c r="G656" s="679">
        <f t="shared" si="57"/>
        <v>1058280.801724142</v>
      </c>
      <c r="H656" s="736">
        <f>+J612*G656+E656</f>
        <v>190375.03080312783</v>
      </c>
      <c r="I656" s="742">
        <f>+J613*G656+E656</f>
        <v>190375.03080312783</v>
      </c>
      <c r="J656" s="739">
        <f t="shared" si="58"/>
        <v>0</v>
      </c>
      <c r="K656" s="739"/>
      <c r="L656" s="743"/>
      <c r="M656" s="739">
        <f t="shared" si="59"/>
        <v>0</v>
      </c>
      <c r="N656" s="743"/>
      <c r="O656" s="739">
        <f t="shared" si="60"/>
        <v>0</v>
      </c>
      <c r="P656" s="739">
        <f t="shared" si="61"/>
        <v>0</v>
      </c>
      <c r="Q656" s="680"/>
    </row>
    <row r="657" spans="2:17" ht="12.75">
      <c r="B657" s="330"/>
      <c r="C657" s="735">
        <f>IF(D611="","-",+C656+1)</f>
        <v>2055</v>
      </c>
      <c r="D657" s="679">
        <f t="shared" si="62"/>
        <v>1031145.3965517282</v>
      </c>
      <c r="E657" s="741">
        <f t="shared" si="63"/>
        <v>54270.81034482759</v>
      </c>
      <c r="F657" s="741">
        <f t="shared" si="56"/>
        <v>976874.5862069007</v>
      </c>
      <c r="G657" s="679">
        <f t="shared" si="57"/>
        <v>1004009.9913793145</v>
      </c>
      <c r="H657" s="736">
        <f>+J612*G657+E657</f>
        <v>183395.3271898817</v>
      </c>
      <c r="I657" s="742">
        <f>+J613*G657+E657</f>
        <v>183395.3271898817</v>
      </c>
      <c r="J657" s="739">
        <f t="shared" si="58"/>
        <v>0</v>
      </c>
      <c r="K657" s="739"/>
      <c r="L657" s="743"/>
      <c r="M657" s="739">
        <f t="shared" si="59"/>
        <v>0</v>
      </c>
      <c r="N657" s="743"/>
      <c r="O657" s="739">
        <f t="shared" si="60"/>
        <v>0</v>
      </c>
      <c r="P657" s="739">
        <f t="shared" si="61"/>
        <v>0</v>
      </c>
      <c r="Q657" s="680"/>
    </row>
    <row r="658" spans="2:17" ht="12.75">
      <c r="B658" s="330"/>
      <c r="C658" s="735">
        <f>IF(D611="","-",+C657+1)</f>
        <v>2056</v>
      </c>
      <c r="D658" s="679">
        <f t="shared" si="62"/>
        <v>976874.5862069007</v>
      </c>
      <c r="E658" s="741">
        <f t="shared" si="63"/>
        <v>54270.81034482759</v>
      </c>
      <c r="F658" s="741">
        <f t="shared" si="56"/>
        <v>922603.7758620731</v>
      </c>
      <c r="G658" s="679">
        <f t="shared" si="57"/>
        <v>949739.1810344869</v>
      </c>
      <c r="H658" s="736">
        <f>+J612*G658+E658</f>
        <v>176415.62357663555</v>
      </c>
      <c r="I658" s="742">
        <f>+J613*G658+E658</f>
        <v>176415.62357663555</v>
      </c>
      <c r="J658" s="739">
        <f t="shared" si="58"/>
        <v>0</v>
      </c>
      <c r="K658" s="739"/>
      <c r="L658" s="743"/>
      <c r="M658" s="739">
        <f t="shared" si="59"/>
        <v>0</v>
      </c>
      <c r="N658" s="743"/>
      <c r="O658" s="739">
        <f t="shared" si="60"/>
        <v>0</v>
      </c>
      <c r="P658" s="739">
        <f t="shared" si="61"/>
        <v>0</v>
      </c>
      <c r="Q658" s="680"/>
    </row>
    <row r="659" spans="2:17" ht="12.75">
      <c r="B659" s="330"/>
      <c r="C659" s="735">
        <f>IF(D611="","-",+C658+1)</f>
        <v>2057</v>
      </c>
      <c r="D659" s="679">
        <f t="shared" si="62"/>
        <v>922603.7758620731</v>
      </c>
      <c r="E659" s="741">
        <f t="shared" si="63"/>
        <v>54270.81034482759</v>
      </c>
      <c r="F659" s="741">
        <f t="shared" si="56"/>
        <v>868332.9655172455</v>
      </c>
      <c r="G659" s="679">
        <f t="shared" si="57"/>
        <v>895468.3706896593</v>
      </c>
      <c r="H659" s="736">
        <f>+J612*G659+E659</f>
        <v>169435.91996338943</v>
      </c>
      <c r="I659" s="742">
        <f>+J613*G659+E659</f>
        <v>169435.91996338943</v>
      </c>
      <c r="J659" s="739">
        <f t="shared" si="58"/>
        <v>0</v>
      </c>
      <c r="K659" s="739"/>
      <c r="L659" s="743"/>
      <c r="M659" s="739">
        <f t="shared" si="59"/>
        <v>0</v>
      </c>
      <c r="N659" s="743"/>
      <c r="O659" s="739">
        <f t="shared" si="60"/>
        <v>0</v>
      </c>
      <c r="P659" s="739">
        <f t="shared" si="61"/>
        <v>0</v>
      </c>
      <c r="Q659" s="680"/>
    </row>
    <row r="660" spans="2:17" ht="12.75">
      <c r="B660" s="330"/>
      <c r="C660" s="735">
        <f>IF(D611="","-",+C659+1)</f>
        <v>2058</v>
      </c>
      <c r="D660" s="679">
        <f t="shared" si="62"/>
        <v>868332.9655172455</v>
      </c>
      <c r="E660" s="741">
        <f t="shared" si="63"/>
        <v>54270.81034482759</v>
      </c>
      <c r="F660" s="741">
        <f t="shared" si="56"/>
        <v>814062.1551724179</v>
      </c>
      <c r="G660" s="679">
        <f t="shared" si="57"/>
        <v>841197.5603448317</v>
      </c>
      <c r="H660" s="736">
        <f>+J612*G660+E660</f>
        <v>162456.21635014328</v>
      </c>
      <c r="I660" s="742">
        <f>+J613*G660+E660</f>
        <v>162456.21635014328</v>
      </c>
      <c r="J660" s="739">
        <f t="shared" si="58"/>
        <v>0</v>
      </c>
      <c r="K660" s="739"/>
      <c r="L660" s="743"/>
      <c r="M660" s="739">
        <f t="shared" si="59"/>
        <v>0</v>
      </c>
      <c r="N660" s="743"/>
      <c r="O660" s="739">
        <f t="shared" si="60"/>
        <v>0</v>
      </c>
      <c r="P660" s="739">
        <f t="shared" si="61"/>
        <v>0</v>
      </c>
      <c r="Q660" s="680"/>
    </row>
    <row r="661" spans="2:17" ht="12.75">
      <c r="B661" s="330"/>
      <c r="C661" s="735">
        <f>IF(D611="","-",+C660+1)</f>
        <v>2059</v>
      </c>
      <c r="D661" s="679">
        <f t="shared" si="62"/>
        <v>814062.1551724179</v>
      </c>
      <c r="E661" s="741">
        <f t="shared" si="63"/>
        <v>54270.81034482759</v>
      </c>
      <c r="F661" s="741">
        <f t="shared" si="56"/>
        <v>759791.3448275903</v>
      </c>
      <c r="G661" s="679">
        <f t="shared" si="57"/>
        <v>786926.7500000041</v>
      </c>
      <c r="H661" s="736">
        <f>+J612*G661+E661</f>
        <v>155476.51273689713</v>
      </c>
      <c r="I661" s="742">
        <f>+J613*G661+E661</f>
        <v>155476.51273689713</v>
      </c>
      <c r="J661" s="739">
        <f t="shared" si="58"/>
        <v>0</v>
      </c>
      <c r="K661" s="739"/>
      <c r="L661" s="743"/>
      <c r="M661" s="739">
        <f t="shared" si="59"/>
        <v>0</v>
      </c>
      <c r="N661" s="743"/>
      <c r="O661" s="739">
        <f t="shared" si="60"/>
        <v>0</v>
      </c>
      <c r="P661" s="739">
        <f t="shared" si="61"/>
        <v>0</v>
      </c>
      <c r="Q661" s="680"/>
    </row>
    <row r="662" spans="2:17" ht="12.75">
      <c r="B662" s="330"/>
      <c r="C662" s="735">
        <f>IF(D611="","-",+C661+1)</f>
        <v>2060</v>
      </c>
      <c r="D662" s="679">
        <f t="shared" si="62"/>
        <v>759791.3448275903</v>
      </c>
      <c r="E662" s="741">
        <f t="shared" si="63"/>
        <v>54270.81034482759</v>
      </c>
      <c r="F662" s="741">
        <f t="shared" si="56"/>
        <v>705520.5344827627</v>
      </c>
      <c r="G662" s="679">
        <f t="shared" si="57"/>
        <v>732655.9396551765</v>
      </c>
      <c r="H662" s="736">
        <f>+J612*G662+E662</f>
        <v>148496.809123651</v>
      </c>
      <c r="I662" s="742">
        <f>+J613*G662+E662</f>
        <v>148496.809123651</v>
      </c>
      <c r="J662" s="739">
        <f t="shared" si="58"/>
        <v>0</v>
      </c>
      <c r="K662" s="739"/>
      <c r="L662" s="743"/>
      <c r="M662" s="739">
        <f t="shared" si="59"/>
        <v>0</v>
      </c>
      <c r="N662" s="743"/>
      <c r="O662" s="739">
        <f t="shared" si="60"/>
        <v>0</v>
      </c>
      <c r="P662" s="739">
        <f t="shared" si="61"/>
        <v>0</v>
      </c>
      <c r="Q662" s="680"/>
    </row>
    <row r="663" spans="2:17" ht="12.75">
      <c r="B663" s="330"/>
      <c r="C663" s="735">
        <f>IF(D611="","-",+C662+1)</f>
        <v>2061</v>
      </c>
      <c r="D663" s="679">
        <f t="shared" si="62"/>
        <v>705520.5344827627</v>
      </c>
      <c r="E663" s="741">
        <f t="shared" si="63"/>
        <v>54270.81034482759</v>
      </c>
      <c r="F663" s="741">
        <f t="shared" si="56"/>
        <v>651249.7241379351</v>
      </c>
      <c r="G663" s="679">
        <f t="shared" si="57"/>
        <v>678385.1293103489</v>
      </c>
      <c r="H663" s="736">
        <f>+J612*G663+E663</f>
        <v>141517.10551040486</v>
      </c>
      <c r="I663" s="742">
        <f>+J613*G663+E663</f>
        <v>141517.10551040486</v>
      </c>
      <c r="J663" s="739">
        <f t="shared" si="58"/>
        <v>0</v>
      </c>
      <c r="K663" s="739"/>
      <c r="L663" s="743"/>
      <c r="M663" s="739">
        <f t="shared" si="59"/>
        <v>0</v>
      </c>
      <c r="N663" s="743"/>
      <c r="O663" s="739">
        <f t="shared" si="60"/>
        <v>0</v>
      </c>
      <c r="P663" s="739">
        <f t="shared" si="61"/>
        <v>0</v>
      </c>
      <c r="Q663" s="680"/>
    </row>
    <row r="664" spans="2:17" ht="12.75">
      <c r="B664" s="330"/>
      <c r="C664" s="735">
        <f>IF(D611="","-",+C663+1)</f>
        <v>2062</v>
      </c>
      <c r="D664" s="679">
        <f t="shared" si="62"/>
        <v>651249.7241379351</v>
      </c>
      <c r="E664" s="741">
        <f t="shared" si="63"/>
        <v>54270.81034482759</v>
      </c>
      <c r="F664" s="741">
        <f t="shared" si="56"/>
        <v>596978.9137931075</v>
      </c>
      <c r="G664" s="679">
        <f t="shared" si="57"/>
        <v>624114.3189655213</v>
      </c>
      <c r="H664" s="736">
        <f>+J612*G664+E664</f>
        <v>134537.4018971587</v>
      </c>
      <c r="I664" s="742">
        <f>+J613*G664+E664</f>
        <v>134537.4018971587</v>
      </c>
      <c r="J664" s="739">
        <f t="shared" si="58"/>
        <v>0</v>
      </c>
      <c r="K664" s="739"/>
      <c r="L664" s="743"/>
      <c r="M664" s="739">
        <f t="shared" si="59"/>
        <v>0</v>
      </c>
      <c r="N664" s="743"/>
      <c r="O664" s="739">
        <f t="shared" si="60"/>
        <v>0</v>
      </c>
      <c r="P664" s="739">
        <f t="shared" si="61"/>
        <v>0</v>
      </c>
      <c r="Q664" s="680"/>
    </row>
    <row r="665" spans="2:17" ht="12.75">
      <c r="B665" s="330"/>
      <c r="C665" s="735">
        <f>IF(D611="","-",+C664+1)</f>
        <v>2063</v>
      </c>
      <c r="D665" s="679">
        <f t="shared" si="62"/>
        <v>596978.9137931075</v>
      </c>
      <c r="E665" s="741">
        <f t="shared" si="63"/>
        <v>54270.81034482759</v>
      </c>
      <c r="F665" s="741">
        <f t="shared" si="56"/>
        <v>542708.1034482799</v>
      </c>
      <c r="G665" s="679">
        <f t="shared" si="57"/>
        <v>569843.5086206937</v>
      </c>
      <c r="H665" s="736">
        <f>+J612*G665+E665</f>
        <v>127557.69828391258</v>
      </c>
      <c r="I665" s="742">
        <f>+J613*G665+E665</f>
        <v>127557.69828391258</v>
      </c>
      <c r="J665" s="739">
        <f t="shared" si="58"/>
        <v>0</v>
      </c>
      <c r="K665" s="739"/>
      <c r="L665" s="743"/>
      <c r="M665" s="739">
        <f t="shared" si="59"/>
        <v>0</v>
      </c>
      <c r="N665" s="743"/>
      <c r="O665" s="739">
        <f t="shared" si="60"/>
        <v>0</v>
      </c>
      <c r="P665" s="739">
        <f t="shared" si="61"/>
        <v>0</v>
      </c>
      <c r="Q665" s="680"/>
    </row>
    <row r="666" spans="2:17" ht="12.75">
      <c r="B666" s="330"/>
      <c r="C666" s="735">
        <f>IF(D611="","-",+C665+1)</f>
        <v>2064</v>
      </c>
      <c r="D666" s="679">
        <f t="shared" si="62"/>
        <v>542708.1034482799</v>
      </c>
      <c r="E666" s="741">
        <f t="shared" si="63"/>
        <v>54270.81034482759</v>
      </c>
      <c r="F666" s="741">
        <f t="shared" si="56"/>
        <v>488437.2931034523</v>
      </c>
      <c r="G666" s="679">
        <f t="shared" si="57"/>
        <v>515572.6982758661</v>
      </c>
      <c r="H666" s="736">
        <f>+J612*G666+E666</f>
        <v>120577.99467066643</v>
      </c>
      <c r="I666" s="742">
        <f>+J613*G666+E666</f>
        <v>120577.99467066643</v>
      </c>
      <c r="J666" s="739">
        <f t="shared" si="58"/>
        <v>0</v>
      </c>
      <c r="K666" s="739"/>
      <c r="L666" s="743"/>
      <c r="M666" s="739">
        <f t="shared" si="59"/>
        <v>0</v>
      </c>
      <c r="N666" s="743"/>
      <c r="O666" s="739">
        <f t="shared" si="60"/>
        <v>0</v>
      </c>
      <c r="P666" s="739">
        <f t="shared" si="61"/>
        <v>0</v>
      </c>
      <c r="Q666" s="680"/>
    </row>
    <row r="667" spans="2:17" ht="12.75">
      <c r="B667" s="330"/>
      <c r="C667" s="735">
        <f>IF(D611="","-",+C666+1)</f>
        <v>2065</v>
      </c>
      <c r="D667" s="679">
        <f t="shared" si="62"/>
        <v>488437.2931034523</v>
      </c>
      <c r="E667" s="741">
        <f t="shared" si="63"/>
        <v>54270.81034482759</v>
      </c>
      <c r="F667" s="741">
        <f t="shared" si="56"/>
        <v>434166.4827586247</v>
      </c>
      <c r="G667" s="679">
        <f t="shared" si="57"/>
        <v>461301.8879310385</v>
      </c>
      <c r="H667" s="736">
        <f>+J612*G667+E667</f>
        <v>113598.29105742028</v>
      </c>
      <c r="I667" s="742">
        <f>+J613*G667+E667</f>
        <v>113598.29105742028</v>
      </c>
      <c r="J667" s="739">
        <f t="shared" si="58"/>
        <v>0</v>
      </c>
      <c r="K667" s="739"/>
      <c r="L667" s="743"/>
      <c r="M667" s="739">
        <f t="shared" si="59"/>
        <v>0</v>
      </c>
      <c r="N667" s="743"/>
      <c r="O667" s="739">
        <f t="shared" si="60"/>
        <v>0</v>
      </c>
      <c r="P667" s="739">
        <f t="shared" si="61"/>
        <v>0</v>
      </c>
      <c r="Q667" s="680"/>
    </row>
    <row r="668" spans="2:17" ht="12.75">
      <c r="B668" s="330"/>
      <c r="C668" s="735">
        <f>IF(D611="","-",+C667+1)</f>
        <v>2066</v>
      </c>
      <c r="D668" s="679">
        <f t="shared" si="62"/>
        <v>434166.4827586247</v>
      </c>
      <c r="E668" s="741">
        <f t="shared" si="63"/>
        <v>54270.81034482759</v>
      </c>
      <c r="F668" s="741">
        <f t="shared" si="56"/>
        <v>379895.6724137971</v>
      </c>
      <c r="G668" s="679">
        <f t="shared" si="57"/>
        <v>407031.0775862109</v>
      </c>
      <c r="H668" s="736">
        <f>+J612*G668+E668</f>
        <v>106618.58744417416</v>
      </c>
      <c r="I668" s="742">
        <f>+J613*G668+E668</f>
        <v>106618.58744417416</v>
      </c>
      <c r="J668" s="739">
        <f t="shared" si="58"/>
        <v>0</v>
      </c>
      <c r="K668" s="739"/>
      <c r="L668" s="743"/>
      <c r="M668" s="739">
        <f t="shared" si="59"/>
        <v>0</v>
      </c>
      <c r="N668" s="743"/>
      <c r="O668" s="739">
        <f t="shared" si="60"/>
        <v>0</v>
      </c>
      <c r="P668" s="739">
        <f t="shared" si="61"/>
        <v>0</v>
      </c>
      <c r="Q668" s="680"/>
    </row>
    <row r="669" spans="2:17" ht="12.75">
      <c r="B669" s="330"/>
      <c r="C669" s="735">
        <f>IF(D611="","-",+C668+1)</f>
        <v>2067</v>
      </c>
      <c r="D669" s="679">
        <f t="shared" si="62"/>
        <v>379895.6724137971</v>
      </c>
      <c r="E669" s="741">
        <f t="shared" si="63"/>
        <v>54270.81034482759</v>
      </c>
      <c r="F669" s="741">
        <f t="shared" si="56"/>
        <v>325624.8620689695</v>
      </c>
      <c r="G669" s="679">
        <f t="shared" si="57"/>
        <v>352760.2672413833</v>
      </c>
      <c r="H669" s="736">
        <f>+J612*G669+E669</f>
        <v>99638.88383092801</v>
      </c>
      <c r="I669" s="742">
        <f>+J613*G669+E669</f>
        <v>99638.88383092801</v>
      </c>
      <c r="J669" s="739">
        <f t="shared" si="58"/>
        <v>0</v>
      </c>
      <c r="K669" s="739"/>
      <c r="L669" s="743"/>
      <c r="M669" s="739">
        <f t="shared" si="59"/>
        <v>0</v>
      </c>
      <c r="N669" s="743"/>
      <c r="O669" s="739">
        <f t="shared" si="60"/>
        <v>0</v>
      </c>
      <c r="P669" s="739">
        <f t="shared" si="61"/>
        <v>0</v>
      </c>
      <c r="Q669" s="680"/>
    </row>
    <row r="670" spans="2:17" ht="12.75">
      <c r="B670" s="330"/>
      <c r="C670" s="735">
        <f>IF(D611="","-",+C669+1)</f>
        <v>2068</v>
      </c>
      <c r="D670" s="679">
        <f t="shared" si="62"/>
        <v>325624.8620689695</v>
      </c>
      <c r="E670" s="741">
        <f t="shared" si="63"/>
        <v>54270.81034482759</v>
      </c>
      <c r="F670" s="741">
        <f t="shared" si="56"/>
        <v>271354.05172414193</v>
      </c>
      <c r="G670" s="679">
        <f t="shared" si="57"/>
        <v>298489.4568965557</v>
      </c>
      <c r="H670" s="736">
        <f>+J612*G670+E670</f>
        <v>92659.18021768186</v>
      </c>
      <c r="I670" s="742">
        <f>+J613*G670+E670</f>
        <v>92659.18021768186</v>
      </c>
      <c r="J670" s="739">
        <f t="shared" si="58"/>
        <v>0</v>
      </c>
      <c r="K670" s="739"/>
      <c r="L670" s="743"/>
      <c r="M670" s="739">
        <f t="shared" si="59"/>
        <v>0</v>
      </c>
      <c r="N670" s="743"/>
      <c r="O670" s="739">
        <f t="shared" si="60"/>
        <v>0</v>
      </c>
      <c r="P670" s="739">
        <f t="shared" si="61"/>
        <v>0</v>
      </c>
      <c r="Q670" s="680"/>
    </row>
    <row r="671" spans="2:17" ht="12.75">
      <c r="B671" s="330"/>
      <c r="C671" s="735">
        <f>IF(D611="","-",+C670+1)</f>
        <v>2069</v>
      </c>
      <c r="D671" s="679">
        <f t="shared" si="62"/>
        <v>271354.05172414193</v>
      </c>
      <c r="E671" s="741">
        <f t="shared" si="63"/>
        <v>54270.81034482759</v>
      </c>
      <c r="F671" s="741">
        <f t="shared" si="56"/>
        <v>217083.24137931434</v>
      </c>
      <c r="G671" s="679">
        <f t="shared" si="57"/>
        <v>244218.64655172813</v>
      </c>
      <c r="H671" s="736">
        <f>+J612*G671+E671</f>
        <v>85679.47660443574</v>
      </c>
      <c r="I671" s="742">
        <f>+J613*G671+E671</f>
        <v>85679.47660443574</v>
      </c>
      <c r="J671" s="739">
        <f t="shared" si="58"/>
        <v>0</v>
      </c>
      <c r="K671" s="739"/>
      <c r="L671" s="743"/>
      <c r="M671" s="739">
        <f t="shared" si="59"/>
        <v>0</v>
      </c>
      <c r="N671" s="743"/>
      <c r="O671" s="739">
        <f t="shared" si="60"/>
        <v>0</v>
      </c>
      <c r="P671" s="739">
        <f t="shared" si="61"/>
        <v>0</v>
      </c>
      <c r="Q671" s="680"/>
    </row>
    <row r="672" spans="2:17" ht="12.75">
      <c r="B672" s="330"/>
      <c r="C672" s="735">
        <f>IF(D611="","-",+C671+1)</f>
        <v>2070</v>
      </c>
      <c r="D672" s="679">
        <f t="shared" si="62"/>
        <v>217083.24137931434</v>
      </c>
      <c r="E672" s="741">
        <f t="shared" si="63"/>
        <v>54270.81034482759</v>
      </c>
      <c r="F672" s="741">
        <f t="shared" si="56"/>
        <v>162812.43103448674</v>
      </c>
      <c r="G672" s="679">
        <f t="shared" si="57"/>
        <v>189947.83620690054</v>
      </c>
      <c r="H672" s="736">
        <f>+J612*G672+E672</f>
        <v>78699.77299118959</v>
      </c>
      <c r="I672" s="742">
        <f>+J613*G672+E672</f>
        <v>78699.77299118959</v>
      </c>
      <c r="J672" s="739">
        <f t="shared" si="58"/>
        <v>0</v>
      </c>
      <c r="K672" s="739"/>
      <c r="L672" s="743"/>
      <c r="M672" s="739">
        <f t="shared" si="59"/>
        <v>0</v>
      </c>
      <c r="N672" s="743"/>
      <c r="O672" s="739">
        <f t="shared" si="60"/>
        <v>0</v>
      </c>
      <c r="P672" s="739">
        <f t="shared" si="61"/>
        <v>0</v>
      </c>
      <c r="Q672" s="680"/>
    </row>
    <row r="673" spans="2:17" ht="12.75">
      <c r="B673" s="330"/>
      <c r="C673" s="735">
        <f>IF(D611="","-",+C672+1)</f>
        <v>2071</v>
      </c>
      <c r="D673" s="679">
        <f t="shared" si="62"/>
        <v>162812.43103448674</v>
      </c>
      <c r="E673" s="741">
        <f t="shared" si="63"/>
        <v>54270.81034482759</v>
      </c>
      <c r="F673" s="741">
        <f t="shared" si="56"/>
        <v>108541.62068965915</v>
      </c>
      <c r="G673" s="679">
        <f t="shared" si="57"/>
        <v>135677.02586207294</v>
      </c>
      <c r="H673" s="736">
        <f>+J612*G673+E673</f>
        <v>71720.06937794345</v>
      </c>
      <c r="I673" s="742">
        <f>+J613*G673+E673</f>
        <v>71720.06937794345</v>
      </c>
      <c r="J673" s="739">
        <f t="shared" si="58"/>
        <v>0</v>
      </c>
      <c r="K673" s="739"/>
      <c r="L673" s="743"/>
      <c r="M673" s="739">
        <f t="shared" si="59"/>
        <v>0</v>
      </c>
      <c r="N673" s="743"/>
      <c r="O673" s="739">
        <f t="shared" si="60"/>
        <v>0</v>
      </c>
      <c r="P673" s="739">
        <f t="shared" si="61"/>
        <v>0</v>
      </c>
      <c r="Q673" s="680"/>
    </row>
    <row r="674" spans="2:17" ht="12.75">
      <c r="B674" s="330"/>
      <c r="C674" s="735">
        <f>IF(D611="","-",+C673+1)</f>
        <v>2072</v>
      </c>
      <c r="D674" s="679">
        <f t="shared" si="62"/>
        <v>108541.62068965915</v>
      </c>
      <c r="E674" s="741">
        <f t="shared" si="63"/>
        <v>54270.81034482759</v>
      </c>
      <c r="F674" s="741">
        <f t="shared" si="56"/>
        <v>54270.81034483156</v>
      </c>
      <c r="G674" s="679">
        <f t="shared" si="57"/>
        <v>81406.21551724535</v>
      </c>
      <c r="H674" s="736">
        <f>+J612*G674+E674</f>
        <v>64740.36576469731</v>
      </c>
      <c r="I674" s="742">
        <f>+J613*G674+E674</f>
        <v>64740.36576469731</v>
      </c>
      <c r="J674" s="739">
        <f t="shared" si="58"/>
        <v>0</v>
      </c>
      <c r="K674" s="739"/>
      <c r="L674" s="743"/>
      <c r="M674" s="739">
        <f t="shared" si="59"/>
        <v>0</v>
      </c>
      <c r="N674" s="743"/>
      <c r="O674" s="739">
        <f t="shared" si="60"/>
        <v>0</v>
      </c>
      <c r="P674" s="739">
        <f t="shared" si="61"/>
        <v>0</v>
      </c>
      <c r="Q674" s="680"/>
    </row>
    <row r="675" spans="2:17" ht="12.75">
      <c r="B675" s="330"/>
      <c r="C675" s="735">
        <f>IF(D611="","-",+C674+1)</f>
        <v>2073</v>
      </c>
      <c r="D675" s="679">
        <f t="shared" si="62"/>
        <v>54270.81034483156</v>
      </c>
      <c r="E675" s="741">
        <f t="shared" si="63"/>
        <v>54270.81034482759</v>
      </c>
      <c r="F675" s="741">
        <f t="shared" si="56"/>
        <v>3.9726728573441505E-09</v>
      </c>
      <c r="G675" s="679">
        <f t="shared" si="57"/>
        <v>27135.405172417766</v>
      </c>
      <c r="H675" s="736">
        <f>+J612*G675+E675</f>
        <v>57760.662151451164</v>
      </c>
      <c r="I675" s="742">
        <f>+J613*G675+E675</f>
        <v>57760.662151451164</v>
      </c>
      <c r="J675" s="739">
        <f t="shared" si="58"/>
        <v>0</v>
      </c>
      <c r="K675" s="739"/>
      <c r="L675" s="743"/>
      <c r="M675" s="739">
        <f t="shared" si="59"/>
        <v>0</v>
      </c>
      <c r="N675" s="743"/>
      <c r="O675" s="739">
        <f t="shared" si="60"/>
        <v>0</v>
      </c>
      <c r="P675" s="739">
        <f t="shared" si="61"/>
        <v>0</v>
      </c>
      <c r="Q675" s="680"/>
    </row>
    <row r="676" spans="2:17" ht="13.5" thickBot="1">
      <c r="B676" s="330"/>
      <c r="C676" s="746">
        <f>IF(D611="","-",+C675+1)</f>
        <v>2074</v>
      </c>
      <c r="D676" s="747">
        <f t="shared" si="62"/>
        <v>3.9726728573441505E-09</v>
      </c>
      <c r="E676" s="741">
        <f t="shared" si="63"/>
        <v>3.9726728573441505E-09</v>
      </c>
      <c r="F676" s="748">
        <f t="shared" si="56"/>
        <v>0</v>
      </c>
      <c r="G676" s="747">
        <f t="shared" si="57"/>
        <v>1.9863364286720753E-09</v>
      </c>
      <c r="H676" s="749">
        <f>+J612*G676+E676</f>
        <v>4.228133195235461E-09</v>
      </c>
      <c r="I676" s="749">
        <f>+J613*G676+E676</f>
        <v>4.228133195235461E-09</v>
      </c>
      <c r="J676" s="750">
        <f t="shared" si="58"/>
        <v>0</v>
      </c>
      <c r="K676" s="739"/>
      <c r="L676" s="751"/>
      <c r="M676" s="750">
        <f t="shared" si="59"/>
        <v>0</v>
      </c>
      <c r="N676" s="751"/>
      <c r="O676" s="750">
        <f t="shared" si="60"/>
        <v>0</v>
      </c>
      <c r="P676" s="750">
        <f t="shared" si="61"/>
        <v>0</v>
      </c>
      <c r="Q676" s="680"/>
    </row>
    <row r="677" spans="2:17" ht="12.75">
      <c r="B677" s="330"/>
      <c r="C677" s="679" t="s">
        <v>290</v>
      </c>
      <c r="D677" s="675"/>
      <c r="E677" s="675">
        <f>SUM(E617:E676)</f>
        <v>3147707</v>
      </c>
      <c r="F677" s="675"/>
      <c r="G677" s="675"/>
      <c r="H677" s="675">
        <f>SUM(H617:H676)</f>
        <v>15292391.287048314</v>
      </c>
      <c r="I677" s="675">
        <f>SUM(I617:I676)</f>
        <v>15292391.287048314</v>
      </c>
      <c r="J677" s="675">
        <f>SUM(J617:J676)</f>
        <v>0</v>
      </c>
      <c r="K677" s="675"/>
      <c r="L677" s="675"/>
      <c r="M677" s="675"/>
      <c r="N677" s="675"/>
      <c r="O677" s="675"/>
      <c r="Q677" s="675"/>
    </row>
    <row r="678" spans="2:17" ht="12.75">
      <c r="B678" s="330"/>
      <c r="D678" s="569"/>
      <c r="E678" s="546"/>
      <c r="F678" s="546"/>
      <c r="G678" s="546"/>
      <c r="H678" s="546"/>
      <c r="I678" s="652"/>
      <c r="J678" s="652"/>
      <c r="K678" s="675"/>
      <c r="L678" s="652"/>
      <c r="M678" s="652"/>
      <c r="N678" s="652"/>
      <c r="O678" s="652"/>
      <c r="Q678" s="675"/>
    </row>
    <row r="679" spans="2:17" ht="12.75">
      <c r="B679" s="330"/>
      <c r="C679" s="546" t="s">
        <v>605</v>
      </c>
      <c r="D679" s="569"/>
      <c r="E679" s="546"/>
      <c r="F679" s="546"/>
      <c r="G679" s="546"/>
      <c r="H679" s="546"/>
      <c r="I679" s="652"/>
      <c r="J679" s="652"/>
      <c r="K679" s="675"/>
      <c r="L679" s="652"/>
      <c r="M679" s="652"/>
      <c r="N679" s="652"/>
      <c r="O679" s="652"/>
      <c r="Q679" s="675"/>
    </row>
    <row r="680" spans="2:17" ht="12.75">
      <c r="B680" s="330"/>
      <c r="D680" s="569"/>
      <c r="E680" s="546"/>
      <c r="F680" s="546"/>
      <c r="G680" s="546"/>
      <c r="H680" s="546"/>
      <c r="I680" s="652"/>
      <c r="J680" s="652"/>
      <c r="K680" s="675"/>
      <c r="L680" s="652"/>
      <c r="M680" s="652"/>
      <c r="N680" s="652"/>
      <c r="O680" s="652"/>
      <c r="Q680" s="675"/>
    </row>
    <row r="681" spans="2:17" ht="12.75">
      <c r="B681" s="330"/>
      <c r="C681" s="582" t="s">
        <v>606</v>
      </c>
      <c r="D681" s="679"/>
      <c r="E681" s="679"/>
      <c r="F681" s="679"/>
      <c r="G681" s="679"/>
      <c r="H681" s="675"/>
      <c r="I681" s="675"/>
      <c r="J681" s="680"/>
      <c r="K681" s="680"/>
      <c r="L681" s="680"/>
      <c r="M681" s="680"/>
      <c r="N681" s="680"/>
      <c r="O681" s="680"/>
      <c r="Q681" s="680"/>
    </row>
    <row r="682" spans="2:17" ht="12.75">
      <c r="B682" s="330"/>
      <c r="C682" s="582" t="s">
        <v>478</v>
      </c>
      <c r="D682" s="679"/>
      <c r="E682" s="679"/>
      <c r="F682" s="679"/>
      <c r="G682" s="679"/>
      <c r="H682" s="675"/>
      <c r="I682" s="675"/>
      <c r="J682" s="680"/>
      <c r="K682" s="680"/>
      <c r="L682" s="680"/>
      <c r="M682" s="680"/>
      <c r="N682" s="680"/>
      <c r="O682" s="680"/>
      <c r="Q682" s="680"/>
    </row>
    <row r="683" spans="2:17" ht="12.75">
      <c r="B683" s="330"/>
      <c r="C683" s="582" t="s">
        <v>291</v>
      </c>
      <c r="D683" s="679"/>
      <c r="E683" s="679"/>
      <c r="F683" s="679"/>
      <c r="G683" s="679"/>
      <c r="H683" s="675"/>
      <c r="I683" s="675"/>
      <c r="J683" s="680"/>
      <c r="K683" s="680"/>
      <c r="L683" s="680"/>
      <c r="M683" s="680"/>
      <c r="N683" s="680"/>
      <c r="O683" s="680"/>
      <c r="Q683" s="680"/>
    </row>
    <row r="684" spans="1:17" ht="20.25">
      <c r="A684" s="681" t="s">
        <v>762</v>
      </c>
      <c r="B684" s="546"/>
      <c r="C684" s="661"/>
      <c r="D684" s="569"/>
      <c r="E684" s="546"/>
      <c r="F684" s="651"/>
      <c r="G684" s="651"/>
      <c r="H684" s="546"/>
      <c r="I684" s="652"/>
      <c r="L684" s="682"/>
      <c r="M684" s="682"/>
      <c r="N684" s="682"/>
      <c r="O684" s="597" t="str">
        <f>"Page "&amp;SUM(Q$1:Q684)&amp;" of "</f>
        <v>Page 9 of </v>
      </c>
      <c r="P684" s="598">
        <f>COUNT(Q$6:Q$57776)</f>
        <v>10</v>
      </c>
      <c r="Q684" s="772">
        <v>1</v>
      </c>
    </row>
    <row r="685" spans="2:17" ht="12.75">
      <c r="B685" s="546"/>
      <c r="C685" s="546"/>
      <c r="D685" s="569"/>
      <c r="E685" s="546"/>
      <c r="F685" s="546"/>
      <c r="G685" s="546"/>
      <c r="H685" s="546"/>
      <c r="I685" s="652"/>
      <c r="J685" s="546"/>
      <c r="K685" s="594"/>
      <c r="Q685" s="594"/>
    </row>
    <row r="686" spans="2:17" ht="18">
      <c r="B686" s="601" t="s">
        <v>176</v>
      </c>
      <c r="C686" s="683" t="s">
        <v>292</v>
      </c>
      <c r="D686" s="569"/>
      <c r="E686" s="546"/>
      <c r="F686" s="546"/>
      <c r="G686" s="546"/>
      <c r="H686" s="546"/>
      <c r="I686" s="652"/>
      <c r="J686" s="652"/>
      <c r="K686" s="675"/>
      <c r="L686" s="652"/>
      <c r="M686" s="652"/>
      <c r="N686" s="652"/>
      <c r="O686" s="652"/>
      <c r="Q686" s="675"/>
    </row>
    <row r="687" spans="2:17" ht="18.75">
      <c r="B687" s="601"/>
      <c r="C687" s="600"/>
      <c r="D687" s="569"/>
      <c r="E687" s="546"/>
      <c r="F687" s="546"/>
      <c r="G687" s="546"/>
      <c r="H687" s="546"/>
      <c r="I687" s="652"/>
      <c r="J687" s="652"/>
      <c r="K687" s="675"/>
      <c r="L687" s="652"/>
      <c r="M687" s="652"/>
      <c r="N687" s="652"/>
      <c r="O687" s="652"/>
      <c r="Q687" s="675"/>
    </row>
    <row r="688" spans="2:17" ht="18.75">
      <c r="B688" s="601"/>
      <c r="C688" s="600" t="s">
        <v>293</v>
      </c>
      <c r="D688" s="569"/>
      <c r="E688" s="546"/>
      <c r="F688" s="546"/>
      <c r="G688" s="546"/>
      <c r="H688" s="546"/>
      <c r="I688" s="652"/>
      <c r="J688" s="652"/>
      <c r="K688" s="675"/>
      <c r="L688" s="652"/>
      <c r="M688" s="652"/>
      <c r="N688" s="652"/>
      <c r="O688" s="652"/>
      <c r="Q688" s="675"/>
    </row>
    <row r="689" spans="2:17" ht="15.75" thickBot="1">
      <c r="B689" s="330"/>
      <c r="C689" s="396"/>
      <c r="D689" s="569"/>
      <c r="E689" s="546"/>
      <c r="F689" s="546"/>
      <c r="G689" s="546"/>
      <c r="H689" s="546"/>
      <c r="I689" s="652"/>
      <c r="J689" s="652"/>
      <c r="K689" s="675"/>
      <c r="L689" s="652"/>
      <c r="M689" s="652"/>
      <c r="N689" s="652"/>
      <c r="O689" s="652"/>
      <c r="Q689" s="675"/>
    </row>
    <row r="690" spans="2:17" ht="15.75">
      <c r="B690" s="330"/>
      <c r="C690" s="602" t="s">
        <v>294</v>
      </c>
      <c r="D690" s="569"/>
      <c r="E690" s="546"/>
      <c r="F690" s="546"/>
      <c r="G690" s="546"/>
      <c r="H690" s="851"/>
      <c r="I690" s="546" t="s">
        <v>273</v>
      </c>
      <c r="J690" s="546"/>
      <c r="K690" s="594"/>
      <c r="L690" s="773">
        <f>+J696</f>
        <v>2017</v>
      </c>
      <c r="M690" s="755" t="s">
        <v>256</v>
      </c>
      <c r="N690" s="755" t="s">
        <v>257</v>
      </c>
      <c r="O690" s="756" t="s">
        <v>258</v>
      </c>
      <c r="Q690" s="594"/>
    </row>
    <row r="691" spans="2:17" ht="15.75">
      <c r="B691" s="330"/>
      <c r="C691" s="602"/>
      <c r="D691" s="569"/>
      <c r="E691" s="546"/>
      <c r="F691" s="546"/>
      <c r="H691" s="546"/>
      <c r="I691" s="688"/>
      <c r="J691" s="688"/>
      <c r="K691" s="689"/>
      <c r="L691" s="774" t="s">
        <v>457</v>
      </c>
      <c r="M691" s="775">
        <f>VLOOKUP(J696,C703:P762,10)</f>
        <v>92121</v>
      </c>
      <c r="N691" s="775">
        <f>VLOOKUP(J696,C703:P762,12)</f>
        <v>92121</v>
      </c>
      <c r="O691" s="776">
        <f>+N691-M691</f>
        <v>0</v>
      </c>
      <c r="Q691" s="689"/>
    </row>
    <row r="692" spans="2:17" ht="12.75">
      <c r="B692" s="330"/>
      <c r="C692" s="693" t="s">
        <v>295</v>
      </c>
      <c r="D692" s="1524" t="s">
        <v>976</v>
      </c>
      <c r="E692" s="1525"/>
      <c r="F692" s="1525"/>
      <c r="G692" s="1525"/>
      <c r="H692" s="1525"/>
      <c r="I692" s="1525"/>
      <c r="J692" s="652"/>
      <c r="K692" s="675"/>
      <c r="L692" s="774" t="s">
        <v>458</v>
      </c>
      <c r="M692" s="777">
        <f>VLOOKUP(J696,C703:P762,6)</f>
        <v>0</v>
      </c>
      <c r="N692" s="777">
        <f>VLOOKUP(J696,C703:P762,7)</f>
        <v>0</v>
      </c>
      <c r="O692" s="778">
        <f>+N692-M692</f>
        <v>0</v>
      </c>
      <c r="Q692" s="675"/>
    </row>
    <row r="693" spans="2:17" ht="13.5" thickBot="1">
      <c r="B693" s="330"/>
      <c r="C693" s="697"/>
      <c r="D693" s="1525"/>
      <c r="E693" s="1525"/>
      <c r="F693" s="1525"/>
      <c r="G693" s="1525"/>
      <c r="H693" s="1525"/>
      <c r="I693" s="1525"/>
      <c r="J693" s="652"/>
      <c r="K693" s="675"/>
      <c r="L693" s="718" t="s">
        <v>459</v>
      </c>
      <c r="M693" s="779">
        <f>+M692-M691</f>
        <v>-92121</v>
      </c>
      <c r="N693" s="779">
        <f>+N692-N691</f>
        <v>-92121</v>
      </c>
      <c r="O693" s="780">
        <f>+O692-O691</f>
        <v>0</v>
      </c>
      <c r="Q693" s="675"/>
    </row>
    <row r="694" spans="2:17" ht="13.5" thickBot="1">
      <c r="B694" s="330"/>
      <c r="C694" s="700"/>
      <c r="D694" s="701"/>
      <c r="E694" s="699"/>
      <c r="F694" s="699"/>
      <c r="G694" s="699"/>
      <c r="H694" s="699"/>
      <c r="I694" s="699"/>
      <c r="J694" s="699"/>
      <c r="K694" s="702"/>
      <c r="L694" s="699"/>
      <c r="M694" s="699"/>
      <c r="N694" s="699"/>
      <c r="O694" s="699"/>
      <c r="P694" s="582"/>
      <c r="Q694" s="702"/>
    </row>
    <row r="695" spans="2:17" ht="13.5" thickBot="1">
      <c r="B695" s="330"/>
      <c r="C695" s="704" t="s">
        <v>296</v>
      </c>
      <c r="D695" s="705"/>
      <c r="E695" s="705"/>
      <c r="F695" s="705"/>
      <c r="G695" s="705"/>
      <c r="H695" s="705"/>
      <c r="I695" s="705"/>
      <c r="J695" s="705"/>
      <c r="K695" s="707"/>
      <c r="P695" s="708"/>
      <c r="Q695" s="707"/>
    </row>
    <row r="696" spans="1:17" ht="15">
      <c r="A696" s="703"/>
      <c r="B696" s="330"/>
      <c r="C696" s="710" t="s">
        <v>274</v>
      </c>
      <c r="D696" s="1292">
        <v>0</v>
      </c>
      <c r="E696" s="661" t="s">
        <v>275</v>
      </c>
      <c r="H696" s="711"/>
      <c r="I696" s="711"/>
      <c r="J696" s="712">
        <v>2017</v>
      </c>
      <c r="K696" s="592"/>
      <c r="L696" s="1515" t="s">
        <v>276</v>
      </c>
      <c r="M696" s="1515"/>
      <c r="N696" s="1515"/>
      <c r="O696" s="1515"/>
      <c r="P696" s="594"/>
      <c r="Q696" s="592"/>
    </row>
    <row r="697" spans="1:17" ht="12.75">
      <c r="A697" s="703"/>
      <c r="B697" s="330"/>
      <c r="C697" s="710" t="s">
        <v>277</v>
      </c>
      <c r="D697" s="1294">
        <v>2015</v>
      </c>
      <c r="E697" s="710" t="s">
        <v>278</v>
      </c>
      <c r="F697" s="711"/>
      <c r="G697" s="711"/>
      <c r="I697" s="330"/>
      <c r="J697" s="856">
        <v>0</v>
      </c>
      <c r="K697" s="713"/>
      <c r="L697" s="675" t="s">
        <v>477</v>
      </c>
      <c r="P697" s="594"/>
      <c r="Q697" s="713"/>
    </row>
    <row r="698" spans="1:17" ht="12.75">
      <c r="A698" s="703"/>
      <c r="B698" s="330"/>
      <c r="C698" s="710" t="s">
        <v>279</v>
      </c>
      <c r="D698" s="1293">
        <v>12</v>
      </c>
      <c r="E698" s="710" t="s">
        <v>280</v>
      </c>
      <c r="F698" s="711"/>
      <c r="G698" s="711"/>
      <c r="I698" s="330"/>
      <c r="J698" s="714">
        <f>$F$68</f>
        <v>0.12860879667906705</v>
      </c>
      <c r="K698" s="715"/>
      <c r="L698" s="546" t="str">
        <f>"          INPUT TRUE-UP ARR (WITH &amp; WITHOUT INCENTIVES) FROM EACH PRIOR YEAR"</f>
        <v>          INPUT TRUE-UP ARR (WITH &amp; WITHOUT INCENTIVES) FROM EACH PRIOR YEAR</v>
      </c>
      <c r="P698" s="594"/>
      <c r="Q698" s="715"/>
    </row>
    <row r="699" spans="1:17" ht="12.75">
      <c r="A699" s="703"/>
      <c r="B699" s="330"/>
      <c r="C699" s="710" t="s">
        <v>281</v>
      </c>
      <c r="D699" s="716">
        <f>$H$77</f>
        <v>58</v>
      </c>
      <c r="E699" s="710" t="s">
        <v>282</v>
      </c>
      <c r="F699" s="711"/>
      <c r="G699" s="711"/>
      <c r="I699" s="330"/>
      <c r="J699" s="714">
        <f>IF(H690="",J698,$F$67)</f>
        <v>0.12860879667906705</v>
      </c>
      <c r="K699" s="717"/>
      <c r="L699" s="546" t="s">
        <v>364</v>
      </c>
      <c r="M699" s="717"/>
      <c r="N699" s="717"/>
      <c r="O699" s="717"/>
      <c r="P699" s="594"/>
      <c r="Q699" s="717"/>
    </row>
    <row r="700" spans="1:17" ht="13.5" thickBot="1">
      <c r="A700" s="703"/>
      <c r="B700" s="330"/>
      <c r="C700" s="710" t="s">
        <v>283</v>
      </c>
      <c r="D700" s="1295" t="s">
        <v>879</v>
      </c>
      <c r="E700" s="718" t="s">
        <v>284</v>
      </c>
      <c r="F700" s="719"/>
      <c r="G700" s="719"/>
      <c r="H700" s="720"/>
      <c r="I700" s="720"/>
      <c r="J700" s="696">
        <f>IF(D696=0,0,D696/D699)</f>
        <v>0</v>
      </c>
      <c r="K700" s="675"/>
      <c r="L700" s="675" t="s">
        <v>365</v>
      </c>
      <c r="M700" s="675"/>
      <c r="N700" s="675"/>
      <c r="O700" s="675"/>
      <c r="P700" s="594"/>
      <c r="Q700" s="675"/>
    </row>
    <row r="701" spans="1:17" ht="38.25">
      <c r="A701" s="531"/>
      <c r="B701" s="531"/>
      <c r="C701" s="721" t="s">
        <v>274</v>
      </c>
      <c r="D701" s="722" t="s">
        <v>285</v>
      </c>
      <c r="E701" s="723" t="s">
        <v>286</v>
      </c>
      <c r="F701" s="722" t="s">
        <v>287</v>
      </c>
      <c r="G701" s="722" t="s">
        <v>460</v>
      </c>
      <c r="H701" s="723" t="s">
        <v>358</v>
      </c>
      <c r="I701" s="724" t="s">
        <v>358</v>
      </c>
      <c r="J701" s="721" t="s">
        <v>297</v>
      </c>
      <c r="K701" s="725"/>
      <c r="L701" s="723" t="s">
        <v>360</v>
      </c>
      <c r="M701" s="723" t="s">
        <v>366</v>
      </c>
      <c r="N701" s="723" t="s">
        <v>360</v>
      </c>
      <c r="O701" s="723" t="s">
        <v>368</v>
      </c>
      <c r="P701" s="723" t="s">
        <v>288</v>
      </c>
      <c r="Q701" s="727"/>
    </row>
    <row r="702" spans="2:17" ht="13.5" thickBot="1">
      <c r="B702" s="330"/>
      <c r="C702" s="728" t="s">
        <v>179</v>
      </c>
      <c r="D702" s="729" t="s">
        <v>180</v>
      </c>
      <c r="E702" s="728" t="s">
        <v>38</v>
      </c>
      <c r="F702" s="729" t="s">
        <v>180</v>
      </c>
      <c r="G702" s="729" t="s">
        <v>180</v>
      </c>
      <c r="H702" s="730" t="s">
        <v>300</v>
      </c>
      <c r="I702" s="731" t="s">
        <v>302</v>
      </c>
      <c r="J702" s="732" t="s">
        <v>391</v>
      </c>
      <c r="K702" s="733"/>
      <c r="L702" s="730" t="s">
        <v>289</v>
      </c>
      <c r="M702" s="730" t="s">
        <v>289</v>
      </c>
      <c r="N702" s="730" t="s">
        <v>469</v>
      </c>
      <c r="O702" s="730" t="s">
        <v>469</v>
      </c>
      <c r="P702" s="730" t="s">
        <v>469</v>
      </c>
      <c r="Q702" s="592"/>
    </row>
    <row r="703" spans="2:17" ht="12.75">
      <c r="B703" s="330"/>
      <c r="C703" s="735">
        <f>IF(D697="","-",D697)</f>
        <v>2015</v>
      </c>
      <c r="D703" s="679">
        <f>+D696</f>
        <v>0</v>
      </c>
      <c r="E703" s="736">
        <f>+J700/12*(12-D698)</f>
        <v>0</v>
      </c>
      <c r="F703" s="781">
        <f aca="true" t="shared" si="64" ref="F703:F762">+D703-E703</f>
        <v>0</v>
      </c>
      <c r="G703" s="679">
        <f aca="true" t="shared" si="65" ref="G703:G762">+(D703+F703)/2</f>
        <v>0</v>
      </c>
      <c r="H703" s="737">
        <f>+J698*G703+E703</f>
        <v>0</v>
      </c>
      <c r="I703" s="738">
        <f>+J699*G703+E703</f>
        <v>0</v>
      </c>
      <c r="J703" s="739">
        <f aca="true" t="shared" si="66" ref="J703:J762">+I703-H703</f>
        <v>0</v>
      </c>
      <c r="K703" s="739"/>
      <c r="L703" s="1255"/>
      <c r="M703" s="782">
        <f aca="true" t="shared" si="67" ref="M703:M762">IF(L703&lt;&gt;0,+H703-L703,0)</f>
        <v>0</v>
      </c>
      <c r="N703" s="1255"/>
      <c r="O703" s="782">
        <f aca="true" t="shared" si="68" ref="O703:O762">IF(N703&lt;&gt;0,+I703-N703,0)</f>
        <v>0</v>
      </c>
      <c r="P703" s="782">
        <f aca="true" t="shared" si="69" ref="P703:P762">+O703-M703</f>
        <v>0</v>
      </c>
      <c r="Q703" s="680"/>
    </row>
    <row r="704" spans="2:17" ht="12.75">
      <c r="B704" s="330"/>
      <c r="C704" s="735">
        <f>IF(D697="","-",+C703+1)</f>
        <v>2016</v>
      </c>
      <c r="D704" s="679">
        <f aca="true" t="shared" si="70" ref="D704:D762">F703</f>
        <v>0</v>
      </c>
      <c r="E704" s="741">
        <f>IF(D704&gt;$J$700,$J$700,D704)</f>
        <v>0</v>
      </c>
      <c r="F704" s="741">
        <f t="shared" si="64"/>
        <v>0</v>
      </c>
      <c r="G704" s="679">
        <f t="shared" si="65"/>
        <v>0</v>
      </c>
      <c r="H704" s="736">
        <f>+J698*G704+E704</f>
        <v>0</v>
      </c>
      <c r="I704" s="742">
        <f>+J699*G704+E704</f>
        <v>0</v>
      </c>
      <c r="J704" s="739">
        <f t="shared" si="66"/>
        <v>0</v>
      </c>
      <c r="K704" s="739"/>
      <c r="L704" s="1284">
        <v>149902</v>
      </c>
      <c r="M704" s="739">
        <f t="shared" si="67"/>
        <v>-149902</v>
      </c>
      <c r="N704" s="1284">
        <v>149902</v>
      </c>
      <c r="O704" s="739">
        <f t="shared" si="68"/>
        <v>-149902</v>
      </c>
      <c r="P704" s="739">
        <f t="shared" si="69"/>
        <v>0</v>
      </c>
      <c r="Q704" s="680"/>
    </row>
    <row r="705" spans="2:17" ht="12.75">
      <c r="B705" s="330"/>
      <c r="C705" s="1229">
        <f>IF(D697="","-",+C704+1)</f>
        <v>2017</v>
      </c>
      <c r="D705" s="679">
        <f t="shared" si="70"/>
        <v>0</v>
      </c>
      <c r="E705" s="741">
        <f aca="true" t="shared" si="71" ref="E705:E762">IF(D705&gt;$J$700,$J$700,D705)</f>
        <v>0</v>
      </c>
      <c r="F705" s="741">
        <f t="shared" si="64"/>
        <v>0</v>
      </c>
      <c r="G705" s="679">
        <f t="shared" si="65"/>
        <v>0</v>
      </c>
      <c r="H705" s="736">
        <f>+J698*G705+E705</f>
        <v>0</v>
      </c>
      <c r="I705" s="742">
        <f>+J699*G705+E705</f>
        <v>0</v>
      </c>
      <c r="J705" s="739">
        <f t="shared" si="66"/>
        <v>0</v>
      </c>
      <c r="K705" s="739"/>
      <c r="L705" s="1256">
        <v>92121</v>
      </c>
      <c r="M705" s="739">
        <f t="shared" si="67"/>
        <v>-92121</v>
      </c>
      <c r="N705" s="1256">
        <v>92121</v>
      </c>
      <c r="O705" s="739">
        <f t="shared" si="68"/>
        <v>-92121</v>
      </c>
      <c r="P705" s="739">
        <f t="shared" si="69"/>
        <v>0</v>
      </c>
      <c r="Q705" s="680"/>
    </row>
    <row r="706" spans="2:17" ht="12.75">
      <c r="B706" s="330"/>
      <c r="C706" s="735">
        <f>IF(D697="","-",+C705+1)</f>
        <v>2018</v>
      </c>
      <c r="D706" s="679">
        <f t="shared" si="70"/>
        <v>0</v>
      </c>
      <c r="E706" s="741">
        <f t="shared" si="71"/>
        <v>0</v>
      </c>
      <c r="F706" s="741">
        <f t="shared" si="64"/>
        <v>0</v>
      </c>
      <c r="G706" s="679">
        <f t="shared" si="65"/>
        <v>0</v>
      </c>
      <c r="H706" s="736">
        <f>+J698*G706+E706</f>
        <v>0</v>
      </c>
      <c r="I706" s="742">
        <f>+J699*G706+E706</f>
        <v>0</v>
      </c>
      <c r="J706" s="739">
        <f t="shared" si="66"/>
        <v>0</v>
      </c>
      <c r="K706" s="739"/>
      <c r="L706" s="1256"/>
      <c r="M706" s="739">
        <f t="shared" si="67"/>
        <v>0</v>
      </c>
      <c r="N706" s="1256"/>
      <c r="O706" s="739">
        <f t="shared" si="68"/>
        <v>0</v>
      </c>
      <c r="P706" s="739">
        <f t="shared" si="69"/>
        <v>0</v>
      </c>
      <c r="Q706" s="680"/>
    </row>
    <row r="707" spans="2:17" ht="12.75">
      <c r="B707" s="330"/>
      <c r="C707" s="735">
        <f>IF(D697="","-",+C706+1)</f>
        <v>2019</v>
      </c>
      <c r="D707" s="679">
        <f t="shared" si="70"/>
        <v>0</v>
      </c>
      <c r="E707" s="741">
        <f t="shared" si="71"/>
        <v>0</v>
      </c>
      <c r="F707" s="741">
        <f t="shared" si="64"/>
        <v>0</v>
      </c>
      <c r="G707" s="679">
        <f t="shared" si="65"/>
        <v>0</v>
      </c>
      <c r="H707" s="736">
        <f>+J698*G707+E707</f>
        <v>0</v>
      </c>
      <c r="I707" s="742">
        <f>+J699*G707+E707</f>
        <v>0</v>
      </c>
      <c r="J707" s="739">
        <f t="shared" si="66"/>
        <v>0</v>
      </c>
      <c r="K707" s="739"/>
      <c r="L707" s="1256"/>
      <c r="M707" s="739">
        <f t="shared" si="67"/>
        <v>0</v>
      </c>
      <c r="N707" s="1256"/>
      <c r="O707" s="739">
        <f t="shared" si="68"/>
        <v>0</v>
      </c>
      <c r="P707" s="739">
        <f t="shared" si="69"/>
        <v>0</v>
      </c>
      <c r="Q707" s="680"/>
    </row>
    <row r="708" spans="2:17" ht="12.75">
      <c r="B708" s="330"/>
      <c r="C708" s="735">
        <f>IF(D697="","-",+C707+1)</f>
        <v>2020</v>
      </c>
      <c r="D708" s="679">
        <f t="shared" si="70"/>
        <v>0</v>
      </c>
      <c r="E708" s="741">
        <f t="shared" si="71"/>
        <v>0</v>
      </c>
      <c r="F708" s="741">
        <f t="shared" si="64"/>
        <v>0</v>
      </c>
      <c r="G708" s="679">
        <f t="shared" si="65"/>
        <v>0</v>
      </c>
      <c r="H708" s="736">
        <f>+J698*G708+E708</f>
        <v>0</v>
      </c>
      <c r="I708" s="742">
        <f>+J699*G708+E708</f>
        <v>0</v>
      </c>
      <c r="J708" s="739">
        <f t="shared" si="66"/>
        <v>0</v>
      </c>
      <c r="K708" s="739"/>
      <c r="L708" s="1256"/>
      <c r="M708" s="739">
        <f t="shared" si="67"/>
        <v>0</v>
      </c>
      <c r="N708" s="1256"/>
      <c r="O708" s="739">
        <f t="shared" si="68"/>
        <v>0</v>
      </c>
      <c r="P708" s="739">
        <f t="shared" si="69"/>
        <v>0</v>
      </c>
      <c r="Q708" s="680"/>
    </row>
    <row r="709" spans="2:17" ht="12.75">
      <c r="B709" s="330"/>
      <c r="C709" s="735">
        <f>IF(D697="","-",+C708+1)</f>
        <v>2021</v>
      </c>
      <c r="D709" s="679">
        <f t="shared" si="70"/>
        <v>0</v>
      </c>
      <c r="E709" s="741">
        <f t="shared" si="71"/>
        <v>0</v>
      </c>
      <c r="F709" s="741">
        <f t="shared" si="64"/>
        <v>0</v>
      </c>
      <c r="G709" s="679">
        <f t="shared" si="65"/>
        <v>0</v>
      </c>
      <c r="H709" s="736">
        <f>+J698*G709+E709</f>
        <v>0</v>
      </c>
      <c r="I709" s="742">
        <f>+J699*G709+E709</f>
        <v>0</v>
      </c>
      <c r="J709" s="739">
        <f t="shared" si="66"/>
        <v>0</v>
      </c>
      <c r="K709" s="739"/>
      <c r="L709" s="1256"/>
      <c r="M709" s="739">
        <f t="shared" si="67"/>
        <v>0</v>
      </c>
      <c r="N709" s="1256"/>
      <c r="O709" s="739">
        <f t="shared" si="68"/>
        <v>0</v>
      </c>
      <c r="P709" s="739">
        <f t="shared" si="69"/>
        <v>0</v>
      </c>
      <c r="Q709" s="680"/>
    </row>
    <row r="710" spans="2:17" ht="12.75">
      <c r="B710" s="330"/>
      <c r="C710" s="735">
        <f>IF(D697="","-",+C709+1)</f>
        <v>2022</v>
      </c>
      <c r="D710" s="679">
        <f t="shared" si="70"/>
        <v>0</v>
      </c>
      <c r="E710" s="741">
        <f t="shared" si="71"/>
        <v>0</v>
      </c>
      <c r="F710" s="741">
        <f t="shared" si="64"/>
        <v>0</v>
      </c>
      <c r="G710" s="679">
        <f t="shared" si="65"/>
        <v>0</v>
      </c>
      <c r="H710" s="736">
        <f>+J698*G710+E710</f>
        <v>0</v>
      </c>
      <c r="I710" s="742">
        <f>+J699*G710+E710</f>
        <v>0</v>
      </c>
      <c r="J710" s="739">
        <f t="shared" si="66"/>
        <v>0</v>
      </c>
      <c r="K710" s="739"/>
      <c r="L710" s="1256"/>
      <c r="M710" s="739">
        <f t="shared" si="67"/>
        <v>0</v>
      </c>
      <c r="N710" s="1256"/>
      <c r="O710" s="739">
        <f t="shared" si="68"/>
        <v>0</v>
      </c>
      <c r="P710" s="739">
        <f t="shared" si="69"/>
        <v>0</v>
      </c>
      <c r="Q710" s="680"/>
    </row>
    <row r="711" spans="2:17" ht="12.75">
      <c r="B711" s="330"/>
      <c r="C711" s="735">
        <f>IF(D697="","-",+C710+1)</f>
        <v>2023</v>
      </c>
      <c r="D711" s="679">
        <f t="shared" si="70"/>
        <v>0</v>
      </c>
      <c r="E711" s="741">
        <f t="shared" si="71"/>
        <v>0</v>
      </c>
      <c r="F711" s="741">
        <f t="shared" si="64"/>
        <v>0</v>
      </c>
      <c r="G711" s="679">
        <f t="shared" si="65"/>
        <v>0</v>
      </c>
      <c r="H711" s="736">
        <f>+J698*G711+E711</f>
        <v>0</v>
      </c>
      <c r="I711" s="742">
        <f>+J699*G711+E711</f>
        <v>0</v>
      </c>
      <c r="J711" s="739">
        <f t="shared" si="66"/>
        <v>0</v>
      </c>
      <c r="K711" s="739"/>
      <c r="L711" s="1256"/>
      <c r="M711" s="739">
        <f t="shared" si="67"/>
        <v>0</v>
      </c>
      <c r="N711" s="1256"/>
      <c r="O711" s="739">
        <f t="shared" si="68"/>
        <v>0</v>
      </c>
      <c r="P711" s="739">
        <f t="shared" si="69"/>
        <v>0</v>
      </c>
      <c r="Q711" s="680"/>
    </row>
    <row r="712" spans="2:17" ht="12.75">
      <c r="B712" s="330"/>
      <c r="C712" s="1258">
        <f>IF(D697="","-",+C711+1)</f>
        <v>2024</v>
      </c>
      <c r="D712" s="679">
        <f t="shared" si="70"/>
        <v>0</v>
      </c>
      <c r="E712" s="741">
        <f t="shared" si="71"/>
        <v>0</v>
      </c>
      <c r="F712" s="741">
        <f t="shared" si="64"/>
        <v>0</v>
      </c>
      <c r="G712" s="679">
        <f t="shared" si="65"/>
        <v>0</v>
      </c>
      <c r="H712" s="736">
        <f>+J698*G712+E712</f>
        <v>0</v>
      </c>
      <c r="I712" s="742">
        <f>+J699*G712+E712</f>
        <v>0</v>
      </c>
      <c r="J712" s="739">
        <f t="shared" si="66"/>
        <v>0</v>
      </c>
      <c r="K712" s="739"/>
      <c r="L712" s="1256"/>
      <c r="M712" s="739">
        <f t="shared" si="67"/>
        <v>0</v>
      </c>
      <c r="N712" s="1256"/>
      <c r="O712" s="739">
        <f t="shared" si="68"/>
        <v>0</v>
      </c>
      <c r="P712" s="739">
        <f t="shared" si="69"/>
        <v>0</v>
      </c>
      <c r="Q712" s="680"/>
    </row>
    <row r="713" spans="2:17" ht="12.75">
      <c r="B713" s="330"/>
      <c r="C713" s="735">
        <f>IF(D697="","-",+C712+1)</f>
        <v>2025</v>
      </c>
      <c r="D713" s="679">
        <f t="shared" si="70"/>
        <v>0</v>
      </c>
      <c r="E713" s="741">
        <f t="shared" si="71"/>
        <v>0</v>
      </c>
      <c r="F713" s="741">
        <f t="shared" si="64"/>
        <v>0</v>
      </c>
      <c r="G713" s="679">
        <f t="shared" si="65"/>
        <v>0</v>
      </c>
      <c r="H713" s="736">
        <f>+J698*G713+E713</f>
        <v>0</v>
      </c>
      <c r="I713" s="742">
        <f>+J699*G713+E713</f>
        <v>0</v>
      </c>
      <c r="J713" s="739">
        <f t="shared" si="66"/>
        <v>0</v>
      </c>
      <c r="K713" s="739"/>
      <c r="L713" s="743"/>
      <c r="M713" s="739">
        <f t="shared" si="67"/>
        <v>0</v>
      </c>
      <c r="N713" s="743"/>
      <c r="O713" s="739">
        <f t="shared" si="68"/>
        <v>0</v>
      </c>
      <c r="P713" s="739">
        <f t="shared" si="69"/>
        <v>0</v>
      </c>
      <c r="Q713" s="680"/>
    </row>
    <row r="714" spans="2:17" ht="12.75">
      <c r="B714" s="330"/>
      <c r="C714" s="735">
        <f>IF(D697="","-",+C713+1)</f>
        <v>2026</v>
      </c>
      <c r="D714" s="679">
        <f t="shared" si="70"/>
        <v>0</v>
      </c>
      <c r="E714" s="741">
        <f t="shared" si="71"/>
        <v>0</v>
      </c>
      <c r="F714" s="741">
        <f t="shared" si="64"/>
        <v>0</v>
      </c>
      <c r="G714" s="679">
        <f t="shared" si="65"/>
        <v>0</v>
      </c>
      <c r="H714" s="736">
        <f>+J698*G714+E714</f>
        <v>0</v>
      </c>
      <c r="I714" s="742">
        <f>+J699*G714+E714</f>
        <v>0</v>
      </c>
      <c r="J714" s="739">
        <f t="shared" si="66"/>
        <v>0</v>
      </c>
      <c r="K714" s="739"/>
      <c r="L714" s="743"/>
      <c r="M714" s="739">
        <f t="shared" si="67"/>
        <v>0</v>
      </c>
      <c r="N714" s="743"/>
      <c r="O714" s="739">
        <f t="shared" si="68"/>
        <v>0</v>
      </c>
      <c r="P714" s="739">
        <f t="shared" si="69"/>
        <v>0</v>
      </c>
      <c r="Q714" s="680"/>
    </row>
    <row r="715" spans="2:17" ht="12.75">
      <c r="B715" s="330"/>
      <c r="C715" s="735">
        <f>IF(D697="","-",+C714+1)</f>
        <v>2027</v>
      </c>
      <c r="D715" s="679">
        <f t="shared" si="70"/>
        <v>0</v>
      </c>
      <c r="E715" s="741">
        <f t="shared" si="71"/>
        <v>0</v>
      </c>
      <c r="F715" s="741">
        <f t="shared" si="64"/>
        <v>0</v>
      </c>
      <c r="G715" s="679">
        <f t="shared" si="65"/>
        <v>0</v>
      </c>
      <c r="H715" s="736">
        <f>+J698*G715+E715</f>
        <v>0</v>
      </c>
      <c r="I715" s="742">
        <f>+J699*G715+E715</f>
        <v>0</v>
      </c>
      <c r="J715" s="739">
        <f t="shared" si="66"/>
        <v>0</v>
      </c>
      <c r="K715" s="739"/>
      <c r="L715" s="743"/>
      <c r="M715" s="739">
        <f t="shared" si="67"/>
        <v>0</v>
      </c>
      <c r="N715" s="743"/>
      <c r="O715" s="739">
        <f t="shared" si="68"/>
        <v>0</v>
      </c>
      <c r="P715" s="739">
        <f t="shared" si="69"/>
        <v>0</v>
      </c>
      <c r="Q715" s="680"/>
    </row>
    <row r="716" spans="2:17" ht="12.75">
      <c r="B716" s="330"/>
      <c r="C716" s="735">
        <f>IF(D697="","-",+C715+1)</f>
        <v>2028</v>
      </c>
      <c r="D716" s="679">
        <f t="shared" si="70"/>
        <v>0</v>
      </c>
      <c r="E716" s="741">
        <f t="shared" si="71"/>
        <v>0</v>
      </c>
      <c r="F716" s="741">
        <f t="shared" si="64"/>
        <v>0</v>
      </c>
      <c r="G716" s="679">
        <f t="shared" si="65"/>
        <v>0</v>
      </c>
      <c r="H716" s="736">
        <f>+J698*G716+E716</f>
        <v>0</v>
      </c>
      <c r="I716" s="742">
        <f>+J699*G716+E716</f>
        <v>0</v>
      </c>
      <c r="J716" s="739">
        <f t="shared" si="66"/>
        <v>0</v>
      </c>
      <c r="K716" s="739"/>
      <c r="L716" s="743"/>
      <c r="M716" s="739">
        <f t="shared" si="67"/>
        <v>0</v>
      </c>
      <c r="N716" s="743"/>
      <c r="O716" s="739">
        <f t="shared" si="68"/>
        <v>0</v>
      </c>
      <c r="P716" s="739">
        <f t="shared" si="69"/>
        <v>0</v>
      </c>
      <c r="Q716" s="680"/>
    </row>
    <row r="717" spans="2:17" ht="12.75">
      <c r="B717" s="330"/>
      <c r="C717" s="735">
        <f>IF(D697="","-",+C716+1)</f>
        <v>2029</v>
      </c>
      <c r="D717" s="679">
        <f t="shared" si="70"/>
        <v>0</v>
      </c>
      <c r="E717" s="741">
        <f t="shared" si="71"/>
        <v>0</v>
      </c>
      <c r="F717" s="741">
        <f t="shared" si="64"/>
        <v>0</v>
      </c>
      <c r="G717" s="679">
        <f t="shared" si="65"/>
        <v>0</v>
      </c>
      <c r="H717" s="736">
        <f>+J698*G717+E717</f>
        <v>0</v>
      </c>
      <c r="I717" s="742">
        <f>+J699*G717+E717</f>
        <v>0</v>
      </c>
      <c r="J717" s="739">
        <f t="shared" si="66"/>
        <v>0</v>
      </c>
      <c r="K717" s="739"/>
      <c r="L717" s="743"/>
      <c r="M717" s="739">
        <f t="shared" si="67"/>
        <v>0</v>
      </c>
      <c r="N717" s="743"/>
      <c r="O717" s="739">
        <f t="shared" si="68"/>
        <v>0</v>
      </c>
      <c r="P717" s="739">
        <f t="shared" si="69"/>
        <v>0</v>
      </c>
      <c r="Q717" s="680"/>
    </row>
    <row r="718" spans="2:17" ht="12.75">
      <c r="B718" s="330"/>
      <c r="C718" s="735">
        <f>IF(D697="","-",+C717+1)</f>
        <v>2030</v>
      </c>
      <c r="D718" s="679">
        <f t="shared" si="70"/>
        <v>0</v>
      </c>
      <c r="E718" s="741">
        <f t="shared" si="71"/>
        <v>0</v>
      </c>
      <c r="F718" s="741">
        <f t="shared" si="64"/>
        <v>0</v>
      </c>
      <c r="G718" s="679">
        <f t="shared" si="65"/>
        <v>0</v>
      </c>
      <c r="H718" s="736">
        <f>+J698*G718+E718</f>
        <v>0</v>
      </c>
      <c r="I718" s="742">
        <f>+J699*G718+E718</f>
        <v>0</v>
      </c>
      <c r="J718" s="739">
        <f t="shared" si="66"/>
        <v>0</v>
      </c>
      <c r="K718" s="739"/>
      <c r="L718" s="743"/>
      <c r="M718" s="739">
        <f t="shared" si="67"/>
        <v>0</v>
      </c>
      <c r="N718" s="743"/>
      <c r="O718" s="739">
        <f t="shared" si="68"/>
        <v>0</v>
      </c>
      <c r="P718" s="739">
        <f t="shared" si="69"/>
        <v>0</v>
      </c>
      <c r="Q718" s="680"/>
    </row>
    <row r="719" spans="2:17" ht="12.75">
      <c r="B719" s="330"/>
      <c r="C719" s="735">
        <f>IF(D697="","-",+C718+1)</f>
        <v>2031</v>
      </c>
      <c r="D719" s="679">
        <f t="shared" si="70"/>
        <v>0</v>
      </c>
      <c r="E719" s="741">
        <f t="shared" si="71"/>
        <v>0</v>
      </c>
      <c r="F719" s="741">
        <f t="shared" si="64"/>
        <v>0</v>
      </c>
      <c r="G719" s="679">
        <f t="shared" si="65"/>
        <v>0</v>
      </c>
      <c r="H719" s="736">
        <f>+J698*G719+E719</f>
        <v>0</v>
      </c>
      <c r="I719" s="742">
        <f>+J699*G719+E719</f>
        <v>0</v>
      </c>
      <c r="J719" s="739">
        <f t="shared" si="66"/>
        <v>0</v>
      </c>
      <c r="K719" s="739"/>
      <c r="L719" s="743"/>
      <c r="M719" s="739">
        <f t="shared" si="67"/>
        <v>0</v>
      </c>
      <c r="N719" s="743"/>
      <c r="O719" s="739">
        <f t="shared" si="68"/>
        <v>0</v>
      </c>
      <c r="P719" s="739">
        <f t="shared" si="69"/>
        <v>0</v>
      </c>
      <c r="Q719" s="680"/>
    </row>
    <row r="720" spans="2:17" ht="12.75">
      <c r="B720" s="330"/>
      <c r="C720" s="735">
        <f>IF(D697="","-",+C719+1)</f>
        <v>2032</v>
      </c>
      <c r="D720" s="679">
        <f t="shared" si="70"/>
        <v>0</v>
      </c>
      <c r="E720" s="741">
        <f t="shared" si="71"/>
        <v>0</v>
      </c>
      <c r="F720" s="741">
        <f t="shared" si="64"/>
        <v>0</v>
      </c>
      <c r="G720" s="679">
        <f t="shared" si="65"/>
        <v>0</v>
      </c>
      <c r="H720" s="736">
        <f>+J698*G720+E720</f>
        <v>0</v>
      </c>
      <c r="I720" s="742">
        <f>+J699*G720+E720</f>
        <v>0</v>
      </c>
      <c r="J720" s="739">
        <f t="shared" si="66"/>
        <v>0</v>
      </c>
      <c r="K720" s="739"/>
      <c r="L720" s="743"/>
      <c r="M720" s="739">
        <f t="shared" si="67"/>
        <v>0</v>
      </c>
      <c r="N720" s="743"/>
      <c r="O720" s="739">
        <f t="shared" si="68"/>
        <v>0</v>
      </c>
      <c r="P720" s="739">
        <f t="shared" si="69"/>
        <v>0</v>
      </c>
      <c r="Q720" s="680"/>
    </row>
    <row r="721" spans="2:17" ht="12.75">
      <c r="B721" s="330"/>
      <c r="C721" s="735">
        <f>IF(D697="","-",+C720+1)</f>
        <v>2033</v>
      </c>
      <c r="D721" s="679">
        <f t="shared" si="70"/>
        <v>0</v>
      </c>
      <c r="E721" s="741">
        <f t="shared" si="71"/>
        <v>0</v>
      </c>
      <c r="F721" s="741">
        <f t="shared" si="64"/>
        <v>0</v>
      </c>
      <c r="G721" s="679">
        <f t="shared" si="65"/>
        <v>0</v>
      </c>
      <c r="H721" s="736">
        <f>+J698*G721+E721</f>
        <v>0</v>
      </c>
      <c r="I721" s="742">
        <f>+J699*G721+E721</f>
        <v>0</v>
      </c>
      <c r="J721" s="739">
        <f t="shared" si="66"/>
        <v>0</v>
      </c>
      <c r="K721" s="739"/>
      <c r="L721" s="743"/>
      <c r="M721" s="739">
        <f t="shared" si="67"/>
        <v>0</v>
      </c>
      <c r="N721" s="743"/>
      <c r="O721" s="739">
        <f t="shared" si="68"/>
        <v>0</v>
      </c>
      <c r="P721" s="739">
        <f t="shared" si="69"/>
        <v>0</v>
      </c>
      <c r="Q721" s="680"/>
    </row>
    <row r="722" spans="2:17" ht="12.75">
      <c r="B722" s="330"/>
      <c r="C722" s="735">
        <f>IF(D697="","-",+C721+1)</f>
        <v>2034</v>
      </c>
      <c r="D722" s="679">
        <f t="shared" si="70"/>
        <v>0</v>
      </c>
      <c r="E722" s="741">
        <f t="shared" si="71"/>
        <v>0</v>
      </c>
      <c r="F722" s="741">
        <f t="shared" si="64"/>
        <v>0</v>
      </c>
      <c r="G722" s="679">
        <f t="shared" si="65"/>
        <v>0</v>
      </c>
      <c r="H722" s="736">
        <f>+J698*G722+E722</f>
        <v>0</v>
      </c>
      <c r="I722" s="742">
        <f>+J699*G722+E722</f>
        <v>0</v>
      </c>
      <c r="J722" s="739">
        <f t="shared" si="66"/>
        <v>0</v>
      </c>
      <c r="K722" s="739"/>
      <c r="L722" s="743"/>
      <c r="M722" s="739">
        <f t="shared" si="67"/>
        <v>0</v>
      </c>
      <c r="N722" s="743"/>
      <c r="O722" s="739">
        <f t="shared" si="68"/>
        <v>0</v>
      </c>
      <c r="P722" s="739">
        <f t="shared" si="69"/>
        <v>0</v>
      </c>
      <c r="Q722" s="680"/>
    </row>
    <row r="723" spans="2:17" ht="12.75">
      <c r="B723" s="330"/>
      <c r="C723" s="735">
        <f>IF(D697="","-",+C722+1)</f>
        <v>2035</v>
      </c>
      <c r="D723" s="679">
        <f t="shared" si="70"/>
        <v>0</v>
      </c>
      <c r="E723" s="741">
        <f t="shared" si="71"/>
        <v>0</v>
      </c>
      <c r="F723" s="741">
        <f t="shared" si="64"/>
        <v>0</v>
      </c>
      <c r="G723" s="679">
        <f t="shared" si="65"/>
        <v>0</v>
      </c>
      <c r="H723" s="736">
        <f>+J698*G723+E723</f>
        <v>0</v>
      </c>
      <c r="I723" s="742">
        <f>+J699*G723+E723</f>
        <v>0</v>
      </c>
      <c r="J723" s="739">
        <f t="shared" si="66"/>
        <v>0</v>
      </c>
      <c r="K723" s="739"/>
      <c r="L723" s="743"/>
      <c r="M723" s="739">
        <f t="shared" si="67"/>
        <v>0</v>
      </c>
      <c r="N723" s="743"/>
      <c r="O723" s="739">
        <f t="shared" si="68"/>
        <v>0</v>
      </c>
      <c r="P723" s="739">
        <f t="shared" si="69"/>
        <v>0</v>
      </c>
      <c r="Q723" s="680"/>
    </row>
    <row r="724" spans="2:17" ht="12.75">
      <c r="B724" s="330"/>
      <c r="C724" s="735">
        <f>IF(D697="","-",+C723+1)</f>
        <v>2036</v>
      </c>
      <c r="D724" s="679">
        <f t="shared" si="70"/>
        <v>0</v>
      </c>
      <c r="E724" s="741">
        <f t="shared" si="71"/>
        <v>0</v>
      </c>
      <c r="F724" s="741">
        <f t="shared" si="64"/>
        <v>0</v>
      </c>
      <c r="G724" s="679">
        <f t="shared" si="65"/>
        <v>0</v>
      </c>
      <c r="H724" s="736">
        <f>+J698*G724+E724</f>
        <v>0</v>
      </c>
      <c r="I724" s="742">
        <f>+J699*G724+E724</f>
        <v>0</v>
      </c>
      <c r="J724" s="739">
        <f t="shared" si="66"/>
        <v>0</v>
      </c>
      <c r="K724" s="739"/>
      <c r="L724" s="743"/>
      <c r="M724" s="739">
        <f t="shared" si="67"/>
        <v>0</v>
      </c>
      <c r="N724" s="743"/>
      <c r="O724" s="739">
        <f t="shared" si="68"/>
        <v>0</v>
      </c>
      <c r="P724" s="739">
        <f t="shared" si="69"/>
        <v>0</v>
      </c>
      <c r="Q724" s="680"/>
    </row>
    <row r="725" spans="2:17" ht="12.75">
      <c r="B725" s="330"/>
      <c r="C725" s="735">
        <f>IF(D697="","-",+C724+1)</f>
        <v>2037</v>
      </c>
      <c r="D725" s="679">
        <f t="shared" si="70"/>
        <v>0</v>
      </c>
      <c r="E725" s="741">
        <f t="shared" si="71"/>
        <v>0</v>
      </c>
      <c r="F725" s="741">
        <f t="shared" si="64"/>
        <v>0</v>
      </c>
      <c r="G725" s="679">
        <f t="shared" si="65"/>
        <v>0</v>
      </c>
      <c r="H725" s="736">
        <f>+J698*G725+E725</f>
        <v>0</v>
      </c>
      <c r="I725" s="742">
        <f>+J699*G725+E725</f>
        <v>0</v>
      </c>
      <c r="J725" s="739">
        <f t="shared" si="66"/>
        <v>0</v>
      </c>
      <c r="K725" s="739"/>
      <c r="L725" s="743"/>
      <c r="M725" s="739">
        <f t="shared" si="67"/>
        <v>0</v>
      </c>
      <c r="N725" s="743"/>
      <c r="O725" s="739">
        <f t="shared" si="68"/>
        <v>0</v>
      </c>
      <c r="P725" s="739">
        <f t="shared" si="69"/>
        <v>0</v>
      </c>
      <c r="Q725" s="680"/>
    </row>
    <row r="726" spans="2:17" ht="12.75">
      <c r="B726" s="330"/>
      <c r="C726" s="735">
        <f>IF(D697="","-",+C725+1)</f>
        <v>2038</v>
      </c>
      <c r="D726" s="679">
        <f t="shared" si="70"/>
        <v>0</v>
      </c>
      <c r="E726" s="741">
        <f t="shared" si="71"/>
        <v>0</v>
      </c>
      <c r="F726" s="741">
        <f t="shared" si="64"/>
        <v>0</v>
      </c>
      <c r="G726" s="679">
        <f t="shared" si="65"/>
        <v>0</v>
      </c>
      <c r="H726" s="736">
        <f>+J698*G726+E726</f>
        <v>0</v>
      </c>
      <c r="I726" s="742">
        <f>+J699*G726+E726</f>
        <v>0</v>
      </c>
      <c r="J726" s="739">
        <f t="shared" si="66"/>
        <v>0</v>
      </c>
      <c r="K726" s="739"/>
      <c r="L726" s="743"/>
      <c r="M726" s="739">
        <f t="shared" si="67"/>
        <v>0</v>
      </c>
      <c r="N726" s="743"/>
      <c r="O726" s="739">
        <f t="shared" si="68"/>
        <v>0</v>
      </c>
      <c r="P726" s="739">
        <f t="shared" si="69"/>
        <v>0</v>
      </c>
      <c r="Q726" s="680"/>
    </row>
    <row r="727" spans="2:17" ht="12.75">
      <c r="B727" s="330"/>
      <c r="C727" s="735">
        <f>IF(D697="","-",+C726+1)</f>
        <v>2039</v>
      </c>
      <c r="D727" s="679">
        <f t="shared" si="70"/>
        <v>0</v>
      </c>
      <c r="E727" s="741">
        <f t="shared" si="71"/>
        <v>0</v>
      </c>
      <c r="F727" s="741">
        <f t="shared" si="64"/>
        <v>0</v>
      </c>
      <c r="G727" s="679">
        <f t="shared" si="65"/>
        <v>0</v>
      </c>
      <c r="H727" s="736">
        <f>+J698*G727+E727</f>
        <v>0</v>
      </c>
      <c r="I727" s="742">
        <f>+J699*G727+E727</f>
        <v>0</v>
      </c>
      <c r="J727" s="739">
        <f t="shared" si="66"/>
        <v>0</v>
      </c>
      <c r="K727" s="739"/>
      <c r="L727" s="743"/>
      <c r="M727" s="739">
        <f t="shared" si="67"/>
        <v>0</v>
      </c>
      <c r="N727" s="743"/>
      <c r="O727" s="739">
        <f t="shared" si="68"/>
        <v>0</v>
      </c>
      <c r="P727" s="739">
        <f t="shared" si="69"/>
        <v>0</v>
      </c>
      <c r="Q727" s="680"/>
    </row>
    <row r="728" spans="2:17" ht="12.75">
      <c r="B728" s="330"/>
      <c r="C728" s="735">
        <f>IF(D697="","-",+C727+1)</f>
        <v>2040</v>
      </c>
      <c r="D728" s="679">
        <f t="shared" si="70"/>
        <v>0</v>
      </c>
      <c r="E728" s="741">
        <f t="shared" si="71"/>
        <v>0</v>
      </c>
      <c r="F728" s="741">
        <f t="shared" si="64"/>
        <v>0</v>
      </c>
      <c r="G728" s="679">
        <f t="shared" si="65"/>
        <v>0</v>
      </c>
      <c r="H728" s="736">
        <f>+J698*G728+E728</f>
        <v>0</v>
      </c>
      <c r="I728" s="742">
        <f>+J699*G728+E728</f>
        <v>0</v>
      </c>
      <c r="J728" s="739">
        <f t="shared" si="66"/>
        <v>0</v>
      </c>
      <c r="K728" s="739"/>
      <c r="L728" s="743"/>
      <c r="M728" s="739">
        <f t="shared" si="67"/>
        <v>0</v>
      </c>
      <c r="N728" s="743"/>
      <c r="O728" s="739">
        <f t="shared" si="68"/>
        <v>0</v>
      </c>
      <c r="P728" s="739">
        <f t="shared" si="69"/>
        <v>0</v>
      </c>
      <c r="Q728" s="680"/>
    </row>
    <row r="729" spans="2:17" ht="12.75">
      <c r="B729" s="330"/>
      <c r="C729" s="735">
        <f>IF(D697="","-",+C728+1)</f>
        <v>2041</v>
      </c>
      <c r="D729" s="679">
        <f t="shared" si="70"/>
        <v>0</v>
      </c>
      <c r="E729" s="741">
        <f t="shared" si="71"/>
        <v>0</v>
      </c>
      <c r="F729" s="741">
        <f t="shared" si="64"/>
        <v>0</v>
      </c>
      <c r="G729" s="679">
        <f t="shared" si="65"/>
        <v>0</v>
      </c>
      <c r="H729" s="736">
        <f>+J698*G729+E729</f>
        <v>0</v>
      </c>
      <c r="I729" s="742">
        <f>+J699*G729+E729</f>
        <v>0</v>
      </c>
      <c r="J729" s="739">
        <f t="shared" si="66"/>
        <v>0</v>
      </c>
      <c r="K729" s="739"/>
      <c r="L729" s="743"/>
      <c r="M729" s="739">
        <f t="shared" si="67"/>
        <v>0</v>
      </c>
      <c r="N729" s="743"/>
      <c r="O729" s="739">
        <f t="shared" si="68"/>
        <v>0</v>
      </c>
      <c r="P729" s="739">
        <f t="shared" si="69"/>
        <v>0</v>
      </c>
      <c r="Q729" s="680"/>
    </row>
    <row r="730" spans="2:17" ht="12.75">
      <c r="B730" s="330"/>
      <c r="C730" s="735">
        <f>IF(D697="","-",+C729+1)</f>
        <v>2042</v>
      </c>
      <c r="D730" s="679">
        <f t="shared" si="70"/>
        <v>0</v>
      </c>
      <c r="E730" s="741">
        <f t="shared" si="71"/>
        <v>0</v>
      </c>
      <c r="F730" s="741">
        <f t="shared" si="64"/>
        <v>0</v>
      </c>
      <c r="G730" s="679">
        <f t="shared" si="65"/>
        <v>0</v>
      </c>
      <c r="H730" s="736">
        <f>+J698*G730+E730</f>
        <v>0</v>
      </c>
      <c r="I730" s="742">
        <f>+J699*G730+E730</f>
        <v>0</v>
      </c>
      <c r="J730" s="739">
        <f t="shared" si="66"/>
        <v>0</v>
      </c>
      <c r="K730" s="739"/>
      <c r="L730" s="743"/>
      <c r="M730" s="739">
        <f t="shared" si="67"/>
        <v>0</v>
      </c>
      <c r="N730" s="743"/>
      <c r="O730" s="739">
        <f t="shared" si="68"/>
        <v>0</v>
      </c>
      <c r="P730" s="739">
        <f t="shared" si="69"/>
        <v>0</v>
      </c>
      <c r="Q730" s="680"/>
    </row>
    <row r="731" spans="2:17" ht="12.75">
      <c r="B731" s="330"/>
      <c r="C731" s="735">
        <f>IF(D697="","-",+C730+1)</f>
        <v>2043</v>
      </c>
      <c r="D731" s="679">
        <f t="shared" si="70"/>
        <v>0</v>
      </c>
      <c r="E731" s="741">
        <f t="shared" si="71"/>
        <v>0</v>
      </c>
      <c r="F731" s="741">
        <f t="shared" si="64"/>
        <v>0</v>
      </c>
      <c r="G731" s="679">
        <f t="shared" si="65"/>
        <v>0</v>
      </c>
      <c r="H731" s="736">
        <f>+J698*G731+E731</f>
        <v>0</v>
      </c>
      <c r="I731" s="742">
        <f>+J699*G731+E731</f>
        <v>0</v>
      </c>
      <c r="J731" s="739">
        <f t="shared" si="66"/>
        <v>0</v>
      </c>
      <c r="K731" s="739"/>
      <c r="L731" s="743"/>
      <c r="M731" s="739">
        <f t="shared" si="67"/>
        <v>0</v>
      </c>
      <c r="N731" s="743"/>
      <c r="O731" s="739">
        <f t="shared" si="68"/>
        <v>0</v>
      </c>
      <c r="P731" s="739">
        <f t="shared" si="69"/>
        <v>0</v>
      </c>
      <c r="Q731" s="680"/>
    </row>
    <row r="732" spans="2:17" ht="12.75">
      <c r="B732" s="330"/>
      <c r="C732" s="735">
        <f>IF(D697="","-",+C731+1)</f>
        <v>2044</v>
      </c>
      <c r="D732" s="679">
        <f t="shared" si="70"/>
        <v>0</v>
      </c>
      <c r="E732" s="741">
        <f t="shared" si="71"/>
        <v>0</v>
      </c>
      <c r="F732" s="741">
        <f t="shared" si="64"/>
        <v>0</v>
      </c>
      <c r="G732" s="679">
        <f t="shared" si="65"/>
        <v>0</v>
      </c>
      <c r="H732" s="736">
        <f>+J698*G732+E732</f>
        <v>0</v>
      </c>
      <c r="I732" s="742">
        <f>+J699*G732+E732</f>
        <v>0</v>
      </c>
      <c r="J732" s="739">
        <f t="shared" si="66"/>
        <v>0</v>
      </c>
      <c r="K732" s="739"/>
      <c r="L732" s="743"/>
      <c r="M732" s="739">
        <f t="shared" si="67"/>
        <v>0</v>
      </c>
      <c r="N732" s="743"/>
      <c r="O732" s="739">
        <f t="shared" si="68"/>
        <v>0</v>
      </c>
      <c r="P732" s="739">
        <f t="shared" si="69"/>
        <v>0</v>
      </c>
      <c r="Q732" s="680"/>
    </row>
    <row r="733" spans="2:17" ht="12.75">
      <c r="B733" s="330"/>
      <c r="C733" s="735">
        <f>IF(D697="","-",+C732+1)</f>
        <v>2045</v>
      </c>
      <c r="D733" s="679">
        <f t="shared" si="70"/>
        <v>0</v>
      </c>
      <c r="E733" s="741">
        <f t="shared" si="71"/>
        <v>0</v>
      </c>
      <c r="F733" s="741">
        <f t="shared" si="64"/>
        <v>0</v>
      </c>
      <c r="G733" s="679">
        <f t="shared" si="65"/>
        <v>0</v>
      </c>
      <c r="H733" s="736">
        <f>+J698*G733+E733</f>
        <v>0</v>
      </c>
      <c r="I733" s="742">
        <f>+J699*G733+E733</f>
        <v>0</v>
      </c>
      <c r="J733" s="739">
        <f t="shared" si="66"/>
        <v>0</v>
      </c>
      <c r="K733" s="739"/>
      <c r="L733" s="743"/>
      <c r="M733" s="739">
        <f t="shared" si="67"/>
        <v>0</v>
      </c>
      <c r="N733" s="743"/>
      <c r="O733" s="739">
        <f t="shared" si="68"/>
        <v>0</v>
      </c>
      <c r="P733" s="739">
        <f t="shared" si="69"/>
        <v>0</v>
      </c>
      <c r="Q733" s="680"/>
    </row>
    <row r="734" spans="2:17" ht="12.75">
      <c r="B734" s="330"/>
      <c r="C734" s="735">
        <f>IF(D697="","-",+C733+1)</f>
        <v>2046</v>
      </c>
      <c r="D734" s="679">
        <f t="shared" si="70"/>
        <v>0</v>
      </c>
      <c r="E734" s="741">
        <f t="shared" si="71"/>
        <v>0</v>
      </c>
      <c r="F734" s="741">
        <f t="shared" si="64"/>
        <v>0</v>
      </c>
      <c r="G734" s="679">
        <f t="shared" si="65"/>
        <v>0</v>
      </c>
      <c r="H734" s="736">
        <f>+J698*G734+E734</f>
        <v>0</v>
      </c>
      <c r="I734" s="742">
        <f>+J699*G734+E734</f>
        <v>0</v>
      </c>
      <c r="J734" s="739">
        <f t="shared" si="66"/>
        <v>0</v>
      </c>
      <c r="K734" s="739"/>
      <c r="L734" s="743"/>
      <c r="M734" s="739">
        <f t="shared" si="67"/>
        <v>0</v>
      </c>
      <c r="N734" s="743"/>
      <c r="O734" s="739">
        <f t="shared" si="68"/>
        <v>0</v>
      </c>
      <c r="P734" s="739">
        <f t="shared" si="69"/>
        <v>0</v>
      </c>
      <c r="Q734" s="680"/>
    </row>
    <row r="735" spans="2:17" ht="12.75">
      <c r="B735" s="330"/>
      <c r="C735" s="735">
        <f>IF(D697="","-",+C734+1)</f>
        <v>2047</v>
      </c>
      <c r="D735" s="679">
        <f t="shared" si="70"/>
        <v>0</v>
      </c>
      <c r="E735" s="741">
        <f t="shared" si="71"/>
        <v>0</v>
      </c>
      <c r="F735" s="741">
        <f t="shared" si="64"/>
        <v>0</v>
      </c>
      <c r="G735" s="679">
        <f t="shared" si="65"/>
        <v>0</v>
      </c>
      <c r="H735" s="736">
        <f>+J698*G735+E735</f>
        <v>0</v>
      </c>
      <c r="I735" s="742">
        <f>+J699*G735+E735</f>
        <v>0</v>
      </c>
      <c r="J735" s="739">
        <f t="shared" si="66"/>
        <v>0</v>
      </c>
      <c r="K735" s="739"/>
      <c r="L735" s="743"/>
      <c r="M735" s="739">
        <f t="shared" si="67"/>
        <v>0</v>
      </c>
      <c r="N735" s="743"/>
      <c r="O735" s="739">
        <f t="shared" si="68"/>
        <v>0</v>
      </c>
      <c r="P735" s="739">
        <f t="shared" si="69"/>
        <v>0</v>
      </c>
      <c r="Q735" s="680"/>
    </row>
    <row r="736" spans="2:17" ht="12.75">
      <c r="B736" s="330"/>
      <c r="C736" s="735">
        <f>IF(D697="","-",+C735+1)</f>
        <v>2048</v>
      </c>
      <c r="D736" s="679">
        <f t="shared" si="70"/>
        <v>0</v>
      </c>
      <c r="E736" s="741">
        <f t="shared" si="71"/>
        <v>0</v>
      </c>
      <c r="F736" s="741">
        <f t="shared" si="64"/>
        <v>0</v>
      </c>
      <c r="G736" s="679">
        <f t="shared" si="65"/>
        <v>0</v>
      </c>
      <c r="H736" s="736">
        <f>+J698*G736+E736</f>
        <v>0</v>
      </c>
      <c r="I736" s="742">
        <f>+J699*G736+E736</f>
        <v>0</v>
      </c>
      <c r="J736" s="739">
        <f t="shared" si="66"/>
        <v>0</v>
      </c>
      <c r="K736" s="739"/>
      <c r="L736" s="743"/>
      <c r="M736" s="739">
        <f t="shared" si="67"/>
        <v>0</v>
      </c>
      <c r="N736" s="743"/>
      <c r="O736" s="739">
        <f t="shared" si="68"/>
        <v>0</v>
      </c>
      <c r="P736" s="739">
        <f t="shared" si="69"/>
        <v>0</v>
      </c>
      <c r="Q736" s="680"/>
    </row>
    <row r="737" spans="2:17" ht="12.75">
      <c r="B737" s="330"/>
      <c r="C737" s="735">
        <f>IF(D697="","-",+C736+1)</f>
        <v>2049</v>
      </c>
      <c r="D737" s="679">
        <f t="shared" si="70"/>
        <v>0</v>
      </c>
      <c r="E737" s="741">
        <f t="shared" si="71"/>
        <v>0</v>
      </c>
      <c r="F737" s="741">
        <f t="shared" si="64"/>
        <v>0</v>
      </c>
      <c r="G737" s="679">
        <f t="shared" si="65"/>
        <v>0</v>
      </c>
      <c r="H737" s="736">
        <f>+J698*G737+E737</f>
        <v>0</v>
      </c>
      <c r="I737" s="742">
        <f>+J699*G737+E737</f>
        <v>0</v>
      </c>
      <c r="J737" s="739">
        <f t="shared" si="66"/>
        <v>0</v>
      </c>
      <c r="K737" s="739"/>
      <c r="L737" s="743"/>
      <c r="M737" s="739">
        <f t="shared" si="67"/>
        <v>0</v>
      </c>
      <c r="N737" s="743"/>
      <c r="O737" s="739">
        <f t="shared" si="68"/>
        <v>0</v>
      </c>
      <c r="P737" s="739">
        <f t="shared" si="69"/>
        <v>0</v>
      </c>
      <c r="Q737" s="680"/>
    </row>
    <row r="738" spans="2:17" ht="12.75">
      <c r="B738" s="330"/>
      <c r="C738" s="735">
        <f>IF(D697="","-",+C737+1)</f>
        <v>2050</v>
      </c>
      <c r="D738" s="679">
        <f t="shared" si="70"/>
        <v>0</v>
      </c>
      <c r="E738" s="741">
        <f t="shared" si="71"/>
        <v>0</v>
      </c>
      <c r="F738" s="741">
        <f t="shared" si="64"/>
        <v>0</v>
      </c>
      <c r="G738" s="679">
        <f t="shared" si="65"/>
        <v>0</v>
      </c>
      <c r="H738" s="736">
        <f>+J698*G738+E738</f>
        <v>0</v>
      </c>
      <c r="I738" s="742">
        <f>+J699*G738+E738</f>
        <v>0</v>
      </c>
      <c r="J738" s="739">
        <f t="shared" si="66"/>
        <v>0</v>
      </c>
      <c r="K738" s="739"/>
      <c r="L738" s="743"/>
      <c r="M738" s="739">
        <f t="shared" si="67"/>
        <v>0</v>
      </c>
      <c r="N738" s="743"/>
      <c r="O738" s="739">
        <f t="shared" si="68"/>
        <v>0</v>
      </c>
      <c r="P738" s="739">
        <f t="shared" si="69"/>
        <v>0</v>
      </c>
      <c r="Q738" s="680"/>
    </row>
    <row r="739" spans="2:17" ht="12.75">
      <c r="B739" s="330"/>
      <c r="C739" s="735">
        <f>IF(D697="","-",+C738+1)</f>
        <v>2051</v>
      </c>
      <c r="D739" s="679">
        <f t="shared" si="70"/>
        <v>0</v>
      </c>
      <c r="E739" s="741">
        <f t="shared" si="71"/>
        <v>0</v>
      </c>
      <c r="F739" s="741">
        <f t="shared" si="64"/>
        <v>0</v>
      </c>
      <c r="G739" s="679">
        <f t="shared" si="65"/>
        <v>0</v>
      </c>
      <c r="H739" s="736">
        <f>+J698*G739+E739</f>
        <v>0</v>
      </c>
      <c r="I739" s="742">
        <f>+J699*G739+E739</f>
        <v>0</v>
      </c>
      <c r="J739" s="739">
        <f t="shared" si="66"/>
        <v>0</v>
      </c>
      <c r="K739" s="739"/>
      <c r="L739" s="743"/>
      <c r="M739" s="739">
        <f t="shared" si="67"/>
        <v>0</v>
      </c>
      <c r="N739" s="743"/>
      <c r="O739" s="739">
        <f t="shared" si="68"/>
        <v>0</v>
      </c>
      <c r="P739" s="739">
        <f t="shared" si="69"/>
        <v>0</v>
      </c>
      <c r="Q739" s="680"/>
    </row>
    <row r="740" spans="2:17" ht="12.75">
      <c r="B740" s="330"/>
      <c r="C740" s="735">
        <f>IF(D697="","-",+C739+1)</f>
        <v>2052</v>
      </c>
      <c r="D740" s="679">
        <f t="shared" si="70"/>
        <v>0</v>
      </c>
      <c r="E740" s="741">
        <f t="shared" si="71"/>
        <v>0</v>
      </c>
      <c r="F740" s="741">
        <f t="shared" si="64"/>
        <v>0</v>
      </c>
      <c r="G740" s="679">
        <f t="shared" si="65"/>
        <v>0</v>
      </c>
      <c r="H740" s="736">
        <f>+J698*G740+E740</f>
        <v>0</v>
      </c>
      <c r="I740" s="742">
        <f>+J699*G740+E740</f>
        <v>0</v>
      </c>
      <c r="J740" s="739">
        <f t="shared" si="66"/>
        <v>0</v>
      </c>
      <c r="K740" s="739"/>
      <c r="L740" s="743"/>
      <c r="M740" s="739">
        <f t="shared" si="67"/>
        <v>0</v>
      </c>
      <c r="N740" s="743"/>
      <c r="O740" s="739">
        <f t="shared" si="68"/>
        <v>0</v>
      </c>
      <c r="P740" s="739">
        <f t="shared" si="69"/>
        <v>0</v>
      </c>
      <c r="Q740" s="680"/>
    </row>
    <row r="741" spans="2:17" ht="12.75">
      <c r="B741" s="330"/>
      <c r="C741" s="735">
        <f>IF(D697="","-",+C740+1)</f>
        <v>2053</v>
      </c>
      <c r="D741" s="679">
        <f t="shared" si="70"/>
        <v>0</v>
      </c>
      <c r="E741" s="741">
        <f t="shared" si="71"/>
        <v>0</v>
      </c>
      <c r="F741" s="741">
        <f t="shared" si="64"/>
        <v>0</v>
      </c>
      <c r="G741" s="679">
        <f t="shared" si="65"/>
        <v>0</v>
      </c>
      <c r="H741" s="736">
        <f>+J698*G741+E741</f>
        <v>0</v>
      </c>
      <c r="I741" s="742">
        <f>+J699*G741+E741</f>
        <v>0</v>
      </c>
      <c r="J741" s="739">
        <f t="shared" si="66"/>
        <v>0</v>
      </c>
      <c r="K741" s="739"/>
      <c r="L741" s="743"/>
      <c r="M741" s="739">
        <f t="shared" si="67"/>
        <v>0</v>
      </c>
      <c r="N741" s="743"/>
      <c r="O741" s="739">
        <f t="shared" si="68"/>
        <v>0</v>
      </c>
      <c r="P741" s="739">
        <f t="shared" si="69"/>
        <v>0</v>
      </c>
      <c r="Q741" s="680"/>
    </row>
    <row r="742" spans="2:17" ht="12.75">
      <c r="B742" s="330"/>
      <c r="C742" s="735">
        <f>IF(D697="","-",+C741+1)</f>
        <v>2054</v>
      </c>
      <c r="D742" s="679">
        <f t="shared" si="70"/>
        <v>0</v>
      </c>
      <c r="E742" s="741">
        <f t="shared" si="71"/>
        <v>0</v>
      </c>
      <c r="F742" s="741">
        <f t="shared" si="64"/>
        <v>0</v>
      </c>
      <c r="G742" s="679">
        <f t="shared" si="65"/>
        <v>0</v>
      </c>
      <c r="H742" s="736">
        <f>+J698*G742+E742</f>
        <v>0</v>
      </c>
      <c r="I742" s="742">
        <f>+J699*G742+E742</f>
        <v>0</v>
      </c>
      <c r="J742" s="739">
        <f t="shared" si="66"/>
        <v>0</v>
      </c>
      <c r="K742" s="739"/>
      <c r="L742" s="743"/>
      <c r="M742" s="739">
        <f t="shared" si="67"/>
        <v>0</v>
      </c>
      <c r="N742" s="743"/>
      <c r="O742" s="739">
        <f t="shared" si="68"/>
        <v>0</v>
      </c>
      <c r="P742" s="739">
        <f t="shared" si="69"/>
        <v>0</v>
      </c>
      <c r="Q742" s="680"/>
    </row>
    <row r="743" spans="2:17" ht="12.75">
      <c r="B743" s="330"/>
      <c r="C743" s="735">
        <f>IF(D697="","-",+C742+1)</f>
        <v>2055</v>
      </c>
      <c r="D743" s="679">
        <f t="shared" si="70"/>
        <v>0</v>
      </c>
      <c r="E743" s="741">
        <f t="shared" si="71"/>
        <v>0</v>
      </c>
      <c r="F743" s="741">
        <f t="shared" si="64"/>
        <v>0</v>
      </c>
      <c r="G743" s="679">
        <f t="shared" si="65"/>
        <v>0</v>
      </c>
      <c r="H743" s="736">
        <f>+J698*G743+E743</f>
        <v>0</v>
      </c>
      <c r="I743" s="742">
        <f>+J699*G743+E743</f>
        <v>0</v>
      </c>
      <c r="J743" s="739">
        <f t="shared" si="66"/>
        <v>0</v>
      </c>
      <c r="K743" s="739"/>
      <c r="L743" s="743"/>
      <c r="M743" s="739">
        <f t="shared" si="67"/>
        <v>0</v>
      </c>
      <c r="N743" s="743"/>
      <c r="O743" s="739">
        <f t="shared" si="68"/>
        <v>0</v>
      </c>
      <c r="P743" s="739">
        <f t="shared" si="69"/>
        <v>0</v>
      </c>
      <c r="Q743" s="680"/>
    </row>
    <row r="744" spans="2:17" ht="12.75">
      <c r="B744" s="330"/>
      <c r="C744" s="735">
        <f>IF(D697="","-",+C743+1)</f>
        <v>2056</v>
      </c>
      <c r="D744" s="679">
        <f t="shared" si="70"/>
        <v>0</v>
      </c>
      <c r="E744" s="741">
        <f t="shared" si="71"/>
        <v>0</v>
      </c>
      <c r="F744" s="741">
        <f t="shared" si="64"/>
        <v>0</v>
      </c>
      <c r="G744" s="679">
        <f t="shared" si="65"/>
        <v>0</v>
      </c>
      <c r="H744" s="736">
        <f>+J698*G744+E744</f>
        <v>0</v>
      </c>
      <c r="I744" s="742">
        <f>+J699*G744+E744</f>
        <v>0</v>
      </c>
      <c r="J744" s="739">
        <f t="shared" si="66"/>
        <v>0</v>
      </c>
      <c r="K744" s="739"/>
      <c r="L744" s="743"/>
      <c r="M744" s="739">
        <f t="shared" si="67"/>
        <v>0</v>
      </c>
      <c r="N744" s="743"/>
      <c r="O744" s="739">
        <f t="shared" si="68"/>
        <v>0</v>
      </c>
      <c r="P744" s="739">
        <f t="shared" si="69"/>
        <v>0</v>
      </c>
      <c r="Q744" s="680"/>
    </row>
    <row r="745" spans="2:17" ht="12.75">
      <c r="B745" s="330"/>
      <c r="C745" s="735">
        <f>IF(D697="","-",+C744+1)</f>
        <v>2057</v>
      </c>
      <c r="D745" s="679">
        <f t="shared" si="70"/>
        <v>0</v>
      </c>
      <c r="E745" s="741">
        <f t="shared" si="71"/>
        <v>0</v>
      </c>
      <c r="F745" s="741">
        <f t="shared" si="64"/>
        <v>0</v>
      </c>
      <c r="G745" s="679">
        <f t="shared" si="65"/>
        <v>0</v>
      </c>
      <c r="H745" s="736">
        <f>+J698*G745+E745</f>
        <v>0</v>
      </c>
      <c r="I745" s="742">
        <f>+J699*G745+E745</f>
        <v>0</v>
      </c>
      <c r="J745" s="739">
        <f t="shared" si="66"/>
        <v>0</v>
      </c>
      <c r="K745" s="739"/>
      <c r="L745" s="743"/>
      <c r="M745" s="739">
        <f t="shared" si="67"/>
        <v>0</v>
      </c>
      <c r="N745" s="743"/>
      <c r="O745" s="739">
        <f t="shared" si="68"/>
        <v>0</v>
      </c>
      <c r="P745" s="739">
        <f t="shared" si="69"/>
        <v>0</v>
      </c>
      <c r="Q745" s="680"/>
    </row>
    <row r="746" spans="2:17" ht="12.75">
      <c r="B746" s="330"/>
      <c r="C746" s="735">
        <f>IF(D697="","-",+C745+1)</f>
        <v>2058</v>
      </c>
      <c r="D746" s="679">
        <f t="shared" si="70"/>
        <v>0</v>
      </c>
      <c r="E746" s="741">
        <f t="shared" si="71"/>
        <v>0</v>
      </c>
      <c r="F746" s="741">
        <f t="shared" si="64"/>
        <v>0</v>
      </c>
      <c r="G746" s="679">
        <f t="shared" si="65"/>
        <v>0</v>
      </c>
      <c r="H746" s="736">
        <f>+J698*G746+E746</f>
        <v>0</v>
      </c>
      <c r="I746" s="742">
        <f>+J699*G746+E746</f>
        <v>0</v>
      </c>
      <c r="J746" s="739">
        <f t="shared" si="66"/>
        <v>0</v>
      </c>
      <c r="K746" s="739"/>
      <c r="L746" s="743"/>
      <c r="M746" s="739">
        <f t="shared" si="67"/>
        <v>0</v>
      </c>
      <c r="N746" s="743"/>
      <c r="O746" s="739">
        <f t="shared" si="68"/>
        <v>0</v>
      </c>
      <c r="P746" s="739">
        <f t="shared" si="69"/>
        <v>0</v>
      </c>
      <c r="Q746" s="680"/>
    </row>
    <row r="747" spans="2:17" ht="12.75">
      <c r="B747" s="330"/>
      <c r="C747" s="735">
        <f>IF(D697="","-",+C746+1)</f>
        <v>2059</v>
      </c>
      <c r="D747" s="679">
        <f t="shared" si="70"/>
        <v>0</v>
      </c>
      <c r="E747" s="741">
        <f t="shared" si="71"/>
        <v>0</v>
      </c>
      <c r="F747" s="741">
        <f t="shared" si="64"/>
        <v>0</v>
      </c>
      <c r="G747" s="679">
        <f t="shared" si="65"/>
        <v>0</v>
      </c>
      <c r="H747" s="736">
        <f>+J698*G747+E747</f>
        <v>0</v>
      </c>
      <c r="I747" s="742">
        <f>+J699*G747+E747</f>
        <v>0</v>
      </c>
      <c r="J747" s="739">
        <f t="shared" si="66"/>
        <v>0</v>
      </c>
      <c r="K747" s="739"/>
      <c r="L747" s="743"/>
      <c r="M747" s="739">
        <f t="shared" si="67"/>
        <v>0</v>
      </c>
      <c r="N747" s="743"/>
      <c r="O747" s="739">
        <f t="shared" si="68"/>
        <v>0</v>
      </c>
      <c r="P747" s="739">
        <f t="shared" si="69"/>
        <v>0</v>
      </c>
      <c r="Q747" s="680"/>
    </row>
    <row r="748" spans="2:17" ht="12.75">
      <c r="B748" s="330"/>
      <c r="C748" s="735">
        <f>IF(D697="","-",+C747+1)</f>
        <v>2060</v>
      </c>
      <c r="D748" s="679">
        <f t="shared" si="70"/>
        <v>0</v>
      </c>
      <c r="E748" s="741">
        <f t="shared" si="71"/>
        <v>0</v>
      </c>
      <c r="F748" s="741">
        <f t="shared" si="64"/>
        <v>0</v>
      </c>
      <c r="G748" s="679">
        <f t="shared" si="65"/>
        <v>0</v>
      </c>
      <c r="H748" s="736">
        <f>+J698*G748+E748</f>
        <v>0</v>
      </c>
      <c r="I748" s="742">
        <f>+J699*G748+E748</f>
        <v>0</v>
      </c>
      <c r="J748" s="739">
        <f t="shared" si="66"/>
        <v>0</v>
      </c>
      <c r="K748" s="739"/>
      <c r="L748" s="743"/>
      <c r="M748" s="739">
        <f t="shared" si="67"/>
        <v>0</v>
      </c>
      <c r="N748" s="743"/>
      <c r="O748" s="739">
        <f t="shared" si="68"/>
        <v>0</v>
      </c>
      <c r="P748" s="739">
        <f t="shared" si="69"/>
        <v>0</v>
      </c>
      <c r="Q748" s="680"/>
    </row>
    <row r="749" spans="2:17" ht="12.75">
      <c r="B749" s="330"/>
      <c r="C749" s="735">
        <f>IF(D697="","-",+C748+1)</f>
        <v>2061</v>
      </c>
      <c r="D749" s="679">
        <f t="shared" si="70"/>
        <v>0</v>
      </c>
      <c r="E749" s="741">
        <f t="shared" si="71"/>
        <v>0</v>
      </c>
      <c r="F749" s="741">
        <f t="shared" si="64"/>
        <v>0</v>
      </c>
      <c r="G749" s="679">
        <f t="shared" si="65"/>
        <v>0</v>
      </c>
      <c r="H749" s="736">
        <f>+J698*G749+E749</f>
        <v>0</v>
      </c>
      <c r="I749" s="742">
        <f>+J699*G749+E749</f>
        <v>0</v>
      </c>
      <c r="J749" s="739">
        <f t="shared" si="66"/>
        <v>0</v>
      </c>
      <c r="K749" s="739"/>
      <c r="L749" s="743"/>
      <c r="M749" s="739">
        <f t="shared" si="67"/>
        <v>0</v>
      </c>
      <c r="N749" s="743"/>
      <c r="O749" s="739">
        <f t="shared" si="68"/>
        <v>0</v>
      </c>
      <c r="P749" s="739">
        <f t="shared" si="69"/>
        <v>0</v>
      </c>
      <c r="Q749" s="680"/>
    </row>
    <row r="750" spans="2:17" ht="12.75">
      <c r="B750" s="330"/>
      <c r="C750" s="735">
        <f>IF(D697="","-",+C749+1)</f>
        <v>2062</v>
      </c>
      <c r="D750" s="679">
        <f t="shared" si="70"/>
        <v>0</v>
      </c>
      <c r="E750" s="741">
        <f t="shared" si="71"/>
        <v>0</v>
      </c>
      <c r="F750" s="741">
        <f t="shared" si="64"/>
        <v>0</v>
      </c>
      <c r="G750" s="679">
        <f t="shared" si="65"/>
        <v>0</v>
      </c>
      <c r="H750" s="736">
        <f>+J698*G750+E750</f>
        <v>0</v>
      </c>
      <c r="I750" s="742">
        <f>+J699*G750+E750</f>
        <v>0</v>
      </c>
      <c r="J750" s="739">
        <f t="shared" si="66"/>
        <v>0</v>
      </c>
      <c r="K750" s="739"/>
      <c r="L750" s="743"/>
      <c r="M750" s="739">
        <f t="shared" si="67"/>
        <v>0</v>
      </c>
      <c r="N750" s="743"/>
      <c r="O750" s="739">
        <f t="shared" si="68"/>
        <v>0</v>
      </c>
      <c r="P750" s="739">
        <f t="shared" si="69"/>
        <v>0</v>
      </c>
      <c r="Q750" s="680"/>
    </row>
    <row r="751" spans="2:17" ht="12.75">
      <c r="B751" s="330"/>
      <c r="C751" s="735">
        <f>IF(D697="","-",+C750+1)</f>
        <v>2063</v>
      </c>
      <c r="D751" s="679">
        <f t="shared" si="70"/>
        <v>0</v>
      </c>
      <c r="E751" s="741">
        <f t="shared" si="71"/>
        <v>0</v>
      </c>
      <c r="F751" s="741">
        <f t="shared" si="64"/>
        <v>0</v>
      </c>
      <c r="G751" s="679">
        <f t="shared" si="65"/>
        <v>0</v>
      </c>
      <c r="H751" s="736">
        <f>+J698*G751+E751</f>
        <v>0</v>
      </c>
      <c r="I751" s="742">
        <f>+J699*G751+E751</f>
        <v>0</v>
      </c>
      <c r="J751" s="739">
        <f t="shared" si="66"/>
        <v>0</v>
      </c>
      <c r="K751" s="739"/>
      <c r="L751" s="743"/>
      <c r="M751" s="739">
        <f t="shared" si="67"/>
        <v>0</v>
      </c>
      <c r="N751" s="743"/>
      <c r="O751" s="739">
        <f t="shared" si="68"/>
        <v>0</v>
      </c>
      <c r="P751" s="739">
        <f t="shared" si="69"/>
        <v>0</v>
      </c>
      <c r="Q751" s="680"/>
    </row>
    <row r="752" spans="2:17" ht="12.75">
      <c r="B752" s="330"/>
      <c r="C752" s="735">
        <f>IF(D697="","-",+C751+1)</f>
        <v>2064</v>
      </c>
      <c r="D752" s="679">
        <f t="shared" si="70"/>
        <v>0</v>
      </c>
      <c r="E752" s="741">
        <f t="shared" si="71"/>
        <v>0</v>
      </c>
      <c r="F752" s="741">
        <f t="shared" si="64"/>
        <v>0</v>
      </c>
      <c r="G752" s="679">
        <f t="shared" si="65"/>
        <v>0</v>
      </c>
      <c r="H752" s="736">
        <f>+J698*G752+E752</f>
        <v>0</v>
      </c>
      <c r="I752" s="742">
        <f>+J699*G752+E752</f>
        <v>0</v>
      </c>
      <c r="J752" s="739">
        <f t="shared" si="66"/>
        <v>0</v>
      </c>
      <c r="K752" s="739"/>
      <c r="L752" s="743"/>
      <c r="M752" s="739">
        <f t="shared" si="67"/>
        <v>0</v>
      </c>
      <c r="N752" s="743"/>
      <c r="O752" s="739">
        <f t="shared" si="68"/>
        <v>0</v>
      </c>
      <c r="P752" s="739">
        <f t="shared" si="69"/>
        <v>0</v>
      </c>
      <c r="Q752" s="680"/>
    </row>
    <row r="753" spans="2:17" ht="12.75">
      <c r="B753" s="330"/>
      <c r="C753" s="735">
        <f>IF(D697="","-",+C752+1)</f>
        <v>2065</v>
      </c>
      <c r="D753" s="679">
        <f t="shared" si="70"/>
        <v>0</v>
      </c>
      <c r="E753" s="741">
        <f t="shared" si="71"/>
        <v>0</v>
      </c>
      <c r="F753" s="741">
        <f t="shared" si="64"/>
        <v>0</v>
      </c>
      <c r="G753" s="679">
        <f t="shared" si="65"/>
        <v>0</v>
      </c>
      <c r="H753" s="736">
        <f>+J698*G753+E753</f>
        <v>0</v>
      </c>
      <c r="I753" s="742">
        <f>+J699*G753+E753</f>
        <v>0</v>
      </c>
      <c r="J753" s="739">
        <f t="shared" si="66"/>
        <v>0</v>
      </c>
      <c r="K753" s="739"/>
      <c r="L753" s="743"/>
      <c r="M753" s="739">
        <f t="shared" si="67"/>
        <v>0</v>
      </c>
      <c r="N753" s="743"/>
      <c r="O753" s="739">
        <f t="shared" si="68"/>
        <v>0</v>
      </c>
      <c r="P753" s="739">
        <f t="shared" si="69"/>
        <v>0</v>
      </c>
      <c r="Q753" s="680"/>
    </row>
    <row r="754" spans="2:17" ht="12.75">
      <c r="B754" s="330"/>
      <c r="C754" s="735">
        <f>IF(D697="","-",+C753+1)</f>
        <v>2066</v>
      </c>
      <c r="D754" s="679">
        <f t="shared" si="70"/>
        <v>0</v>
      </c>
      <c r="E754" s="741">
        <f t="shared" si="71"/>
        <v>0</v>
      </c>
      <c r="F754" s="741">
        <f t="shared" si="64"/>
        <v>0</v>
      </c>
      <c r="G754" s="679">
        <f t="shared" si="65"/>
        <v>0</v>
      </c>
      <c r="H754" s="736">
        <f>+J698*G754+E754</f>
        <v>0</v>
      </c>
      <c r="I754" s="742">
        <f>+J699*G754+E754</f>
        <v>0</v>
      </c>
      <c r="J754" s="739">
        <f t="shared" si="66"/>
        <v>0</v>
      </c>
      <c r="K754" s="739"/>
      <c r="L754" s="743"/>
      <c r="M754" s="739">
        <f t="shared" si="67"/>
        <v>0</v>
      </c>
      <c r="N754" s="743"/>
      <c r="O754" s="739">
        <f t="shared" si="68"/>
        <v>0</v>
      </c>
      <c r="P754" s="739">
        <f t="shared" si="69"/>
        <v>0</v>
      </c>
      <c r="Q754" s="680"/>
    </row>
    <row r="755" spans="2:17" ht="12.75">
      <c r="B755" s="330"/>
      <c r="C755" s="735">
        <f>IF(D697="","-",+C754+1)</f>
        <v>2067</v>
      </c>
      <c r="D755" s="679">
        <f t="shared" si="70"/>
        <v>0</v>
      </c>
      <c r="E755" s="741">
        <f t="shared" si="71"/>
        <v>0</v>
      </c>
      <c r="F755" s="741">
        <f t="shared" si="64"/>
        <v>0</v>
      </c>
      <c r="G755" s="679">
        <f t="shared" si="65"/>
        <v>0</v>
      </c>
      <c r="H755" s="736">
        <f>+J698*G755+E755</f>
        <v>0</v>
      </c>
      <c r="I755" s="742">
        <f>+J699*G755+E755</f>
        <v>0</v>
      </c>
      <c r="J755" s="739">
        <f t="shared" si="66"/>
        <v>0</v>
      </c>
      <c r="K755" s="739"/>
      <c r="L755" s="743"/>
      <c r="M755" s="739">
        <f t="shared" si="67"/>
        <v>0</v>
      </c>
      <c r="N755" s="743"/>
      <c r="O755" s="739">
        <f t="shared" si="68"/>
        <v>0</v>
      </c>
      <c r="P755" s="739">
        <f t="shared" si="69"/>
        <v>0</v>
      </c>
      <c r="Q755" s="680"/>
    </row>
    <row r="756" spans="2:17" ht="12.75">
      <c r="B756" s="330"/>
      <c r="C756" s="735">
        <f>IF(D697="","-",+C755+1)</f>
        <v>2068</v>
      </c>
      <c r="D756" s="679">
        <f t="shared" si="70"/>
        <v>0</v>
      </c>
      <c r="E756" s="741">
        <f t="shared" si="71"/>
        <v>0</v>
      </c>
      <c r="F756" s="741">
        <f t="shared" si="64"/>
        <v>0</v>
      </c>
      <c r="G756" s="679">
        <f t="shared" si="65"/>
        <v>0</v>
      </c>
      <c r="H756" s="736">
        <f>+J698*G756+E756</f>
        <v>0</v>
      </c>
      <c r="I756" s="742">
        <f>+J699*G756+E756</f>
        <v>0</v>
      </c>
      <c r="J756" s="739">
        <f t="shared" si="66"/>
        <v>0</v>
      </c>
      <c r="K756" s="739"/>
      <c r="L756" s="743"/>
      <c r="M756" s="739">
        <f t="shared" si="67"/>
        <v>0</v>
      </c>
      <c r="N756" s="743"/>
      <c r="O756" s="739">
        <f t="shared" si="68"/>
        <v>0</v>
      </c>
      <c r="P756" s="739">
        <f t="shared" si="69"/>
        <v>0</v>
      </c>
      <c r="Q756" s="680"/>
    </row>
    <row r="757" spans="2:17" ht="12.75">
      <c r="B757" s="330"/>
      <c r="C757" s="735">
        <f>IF(D697="","-",+C756+1)</f>
        <v>2069</v>
      </c>
      <c r="D757" s="679">
        <f t="shared" si="70"/>
        <v>0</v>
      </c>
      <c r="E757" s="741">
        <f t="shared" si="71"/>
        <v>0</v>
      </c>
      <c r="F757" s="741">
        <f t="shared" si="64"/>
        <v>0</v>
      </c>
      <c r="G757" s="679">
        <f t="shared" si="65"/>
        <v>0</v>
      </c>
      <c r="H757" s="736">
        <f>+J698*G757+E757</f>
        <v>0</v>
      </c>
      <c r="I757" s="742">
        <f>+J699*G757+E757</f>
        <v>0</v>
      </c>
      <c r="J757" s="739">
        <f t="shared" si="66"/>
        <v>0</v>
      </c>
      <c r="K757" s="739"/>
      <c r="L757" s="743"/>
      <c r="M757" s="739">
        <f t="shared" si="67"/>
        <v>0</v>
      </c>
      <c r="N757" s="743"/>
      <c r="O757" s="739">
        <f t="shared" si="68"/>
        <v>0</v>
      </c>
      <c r="P757" s="739">
        <f t="shared" si="69"/>
        <v>0</v>
      </c>
      <c r="Q757" s="680"/>
    </row>
    <row r="758" spans="2:17" ht="12.75">
      <c r="B758" s="330"/>
      <c r="C758" s="735">
        <f>IF(D697="","-",+C757+1)</f>
        <v>2070</v>
      </c>
      <c r="D758" s="679">
        <f t="shared" si="70"/>
        <v>0</v>
      </c>
      <c r="E758" s="741">
        <f t="shared" si="71"/>
        <v>0</v>
      </c>
      <c r="F758" s="741">
        <f t="shared" si="64"/>
        <v>0</v>
      </c>
      <c r="G758" s="679">
        <f t="shared" si="65"/>
        <v>0</v>
      </c>
      <c r="H758" s="736">
        <f>+J698*G758+E758</f>
        <v>0</v>
      </c>
      <c r="I758" s="742">
        <f>+J699*G758+E758</f>
        <v>0</v>
      </c>
      <c r="J758" s="739">
        <f t="shared" si="66"/>
        <v>0</v>
      </c>
      <c r="K758" s="739"/>
      <c r="L758" s="743"/>
      <c r="M758" s="739">
        <f t="shared" si="67"/>
        <v>0</v>
      </c>
      <c r="N758" s="743"/>
      <c r="O758" s="739">
        <f t="shared" si="68"/>
        <v>0</v>
      </c>
      <c r="P758" s="739">
        <f t="shared" si="69"/>
        <v>0</v>
      </c>
      <c r="Q758" s="680"/>
    </row>
    <row r="759" spans="2:17" ht="12.75">
      <c r="B759" s="330"/>
      <c r="C759" s="735">
        <f>IF(D697="","-",+C758+1)</f>
        <v>2071</v>
      </c>
      <c r="D759" s="679">
        <f t="shared" si="70"/>
        <v>0</v>
      </c>
      <c r="E759" s="741">
        <f t="shared" si="71"/>
        <v>0</v>
      </c>
      <c r="F759" s="741">
        <f t="shared" si="64"/>
        <v>0</v>
      </c>
      <c r="G759" s="679">
        <f t="shared" si="65"/>
        <v>0</v>
      </c>
      <c r="H759" s="736">
        <f>+J698*G759+E759</f>
        <v>0</v>
      </c>
      <c r="I759" s="742">
        <f>+J699*G759+E759</f>
        <v>0</v>
      </c>
      <c r="J759" s="739">
        <f t="shared" si="66"/>
        <v>0</v>
      </c>
      <c r="K759" s="739"/>
      <c r="L759" s="743"/>
      <c r="M759" s="739">
        <f t="shared" si="67"/>
        <v>0</v>
      </c>
      <c r="N759" s="743"/>
      <c r="O759" s="739">
        <f t="shared" si="68"/>
        <v>0</v>
      </c>
      <c r="P759" s="739">
        <f t="shared" si="69"/>
        <v>0</v>
      </c>
      <c r="Q759" s="680"/>
    </row>
    <row r="760" spans="2:17" ht="12.75">
      <c r="B760" s="330"/>
      <c r="C760" s="735">
        <f>IF(D697="","-",+C759+1)</f>
        <v>2072</v>
      </c>
      <c r="D760" s="679">
        <f t="shared" si="70"/>
        <v>0</v>
      </c>
      <c r="E760" s="741">
        <f t="shared" si="71"/>
        <v>0</v>
      </c>
      <c r="F760" s="741">
        <f t="shared" si="64"/>
        <v>0</v>
      </c>
      <c r="G760" s="679">
        <f t="shared" si="65"/>
        <v>0</v>
      </c>
      <c r="H760" s="736">
        <f>+J698*G760+E760</f>
        <v>0</v>
      </c>
      <c r="I760" s="742">
        <f>+J699*G760+E760</f>
        <v>0</v>
      </c>
      <c r="J760" s="739">
        <f t="shared" si="66"/>
        <v>0</v>
      </c>
      <c r="K760" s="739"/>
      <c r="L760" s="743"/>
      <c r="M760" s="739">
        <f t="shared" si="67"/>
        <v>0</v>
      </c>
      <c r="N760" s="743"/>
      <c r="O760" s="739">
        <f t="shared" si="68"/>
        <v>0</v>
      </c>
      <c r="P760" s="739">
        <f t="shared" si="69"/>
        <v>0</v>
      </c>
      <c r="Q760" s="680"/>
    </row>
    <row r="761" spans="2:17" ht="12.75">
      <c r="B761" s="330"/>
      <c r="C761" s="735">
        <f>IF(D697="","-",+C760+1)</f>
        <v>2073</v>
      </c>
      <c r="D761" s="679">
        <f t="shared" si="70"/>
        <v>0</v>
      </c>
      <c r="E761" s="741">
        <f t="shared" si="71"/>
        <v>0</v>
      </c>
      <c r="F761" s="741">
        <f t="shared" si="64"/>
        <v>0</v>
      </c>
      <c r="G761" s="679">
        <f t="shared" si="65"/>
        <v>0</v>
      </c>
      <c r="H761" s="736">
        <f>+J698*G761+E761</f>
        <v>0</v>
      </c>
      <c r="I761" s="742">
        <f>+J699*G761+E761</f>
        <v>0</v>
      </c>
      <c r="J761" s="739">
        <f t="shared" si="66"/>
        <v>0</v>
      </c>
      <c r="K761" s="739"/>
      <c r="L761" s="743"/>
      <c r="M761" s="739">
        <f t="shared" si="67"/>
        <v>0</v>
      </c>
      <c r="N761" s="743"/>
      <c r="O761" s="739">
        <f t="shared" si="68"/>
        <v>0</v>
      </c>
      <c r="P761" s="739">
        <f t="shared" si="69"/>
        <v>0</v>
      </c>
      <c r="Q761" s="680"/>
    </row>
    <row r="762" spans="2:17" ht="13.5" thickBot="1">
      <c r="B762" s="330"/>
      <c r="C762" s="746">
        <f>IF(D697="","-",+C761+1)</f>
        <v>2074</v>
      </c>
      <c r="D762" s="747">
        <f t="shared" si="70"/>
        <v>0</v>
      </c>
      <c r="E762" s="741">
        <f t="shared" si="71"/>
        <v>0</v>
      </c>
      <c r="F762" s="748">
        <f t="shared" si="64"/>
        <v>0</v>
      </c>
      <c r="G762" s="747">
        <f t="shared" si="65"/>
        <v>0</v>
      </c>
      <c r="H762" s="749">
        <f>+J698*G762+E762</f>
        <v>0</v>
      </c>
      <c r="I762" s="749">
        <f>+J699*G762+E762</f>
        <v>0</v>
      </c>
      <c r="J762" s="750">
        <f t="shared" si="66"/>
        <v>0</v>
      </c>
      <c r="K762" s="739"/>
      <c r="L762" s="751"/>
      <c r="M762" s="750">
        <f t="shared" si="67"/>
        <v>0</v>
      </c>
      <c r="N762" s="751"/>
      <c r="O762" s="750">
        <f t="shared" si="68"/>
        <v>0</v>
      </c>
      <c r="P762" s="750">
        <f t="shared" si="69"/>
        <v>0</v>
      </c>
      <c r="Q762" s="680"/>
    </row>
    <row r="763" spans="2:17" ht="12.75">
      <c r="B763" s="330"/>
      <c r="C763" s="679" t="s">
        <v>290</v>
      </c>
      <c r="D763" s="675"/>
      <c r="E763" s="675">
        <f>SUM(E703:E762)</f>
        <v>0</v>
      </c>
      <c r="F763" s="675"/>
      <c r="G763" s="675"/>
      <c r="H763" s="675">
        <f>SUM(H703:H762)</f>
        <v>0</v>
      </c>
      <c r="I763" s="675">
        <f>SUM(I703:I762)</f>
        <v>0</v>
      </c>
      <c r="J763" s="675">
        <f>SUM(J703:J762)</f>
        <v>0</v>
      </c>
      <c r="K763" s="675"/>
      <c r="L763" s="675"/>
      <c r="M763" s="675"/>
      <c r="N763" s="675"/>
      <c r="O763" s="675"/>
      <c r="Q763" s="675"/>
    </row>
    <row r="764" spans="2:17" ht="12.75">
      <c r="B764" s="330"/>
      <c r="D764" s="569"/>
      <c r="E764" s="546"/>
      <c r="F764" s="546"/>
      <c r="G764" s="546"/>
      <c r="H764" s="546"/>
      <c r="I764" s="652"/>
      <c r="J764" s="652"/>
      <c r="K764" s="675"/>
      <c r="L764" s="652"/>
      <c r="M764" s="652"/>
      <c r="N764" s="652"/>
      <c r="O764" s="652"/>
      <c r="Q764" s="675"/>
    </row>
    <row r="765" spans="2:17" ht="12.75">
      <c r="B765" s="330"/>
      <c r="C765" s="546" t="s">
        <v>605</v>
      </c>
      <c r="D765" s="569"/>
      <c r="E765" s="546"/>
      <c r="F765" s="546"/>
      <c r="G765" s="546"/>
      <c r="H765" s="546"/>
      <c r="I765" s="652"/>
      <c r="J765" s="652"/>
      <c r="K765" s="675"/>
      <c r="L765" s="652"/>
      <c r="M765" s="652"/>
      <c r="N765" s="652"/>
      <c r="O765" s="652"/>
      <c r="Q765" s="675"/>
    </row>
    <row r="766" spans="2:17" ht="12.75">
      <c r="B766" s="330"/>
      <c r="D766" s="569"/>
      <c r="E766" s="546"/>
      <c r="F766" s="546"/>
      <c r="G766" s="546"/>
      <c r="H766" s="546"/>
      <c r="I766" s="652"/>
      <c r="J766" s="652"/>
      <c r="K766" s="675"/>
      <c r="L766" s="652"/>
      <c r="M766" s="652"/>
      <c r="N766" s="652"/>
      <c r="O766" s="652"/>
      <c r="Q766" s="675"/>
    </row>
    <row r="767" spans="2:17" ht="12.75">
      <c r="B767" s="330"/>
      <c r="C767" s="582" t="s">
        <v>606</v>
      </c>
      <c r="D767" s="679"/>
      <c r="E767" s="679"/>
      <c r="F767" s="679"/>
      <c r="G767" s="679"/>
      <c r="H767" s="675"/>
      <c r="I767" s="675"/>
      <c r="J767" s="680"/>
      <c r="K767" s="680"/>
      <c r="L767" s="680"/>
      <c r="M767" s="680"/>
      <c r="N767" s="680"/>
      <c r="O767" s="680"/>
      <c r="Q767" s="680"/>
    </row>
    <row r="768" spans="2:17" ht="12.75">
      <c r="B768" s="330"/>
      <c r="C768" s="582" t="s">
        <v>478</v>
      </c>
      <c r="D768" s="679"/>
      <c r="E768" s="679"/>
      <c r="F768" s="679"/>
      <c r="G768" s="679"/>
      <c r="H768" s="675"/>
      <c r="I768" s="675"/>
      <c r="J768" s="680"/>
      <c r="K768" s="680"/>
      <c r="L768" s="680"/>
      <c r="M768" s="680"/>
      <c r="N768" s="680"/>
      <c r="O768" s="680"/>
      <c r="Q768" s="680"/>
    </row>
    <row r="769" spans="2:17" ht="12.75">
      <c r="B769" s="330"/>
      <c r="C769" s="582" t="s">
        <v>291</v>
      </c>
      <c r="D769" s="679"/>
      <c r="E769" s="679"/>
      <c r="F769" s="679"/>
      <c r="G769" s="679"/>
      <c r="H769" s="675"/>
      <c r="I769" s="675"/>
      <c r="J769" s="680"/>
      <c r="K769" s="680"/>
      <c r="L769" s="680"/>
      <c r="M769" s="680"/>
      <c r="N769" s="680"/>
      <c r="O769" s="680"/>
      <c r="Q769" s="680"/>
    </row>
    <row r="770" spans="1:17" ht="20.25">
      <c r="A770" s="681" t="s">
        <v>762</v>
      </c>
      <c r="B770" s="546"/>
      <c r="C770" s="661"/>
      <c r="D770" s="569"/>
      <c r="E770" s="546"/>
      <c r="F770" s="651"/>
      <c r="G770" s="651"/>
      <c r="H770" s="546"/>
      <c r="I770" s="652"/>
      <c r="L770" s="682"/>
      <c r="M770" s="682"/>
      <c r="N770" s="682"/>
      <c r="O770" s="597" t="str">
        <f>"Page "&amp;SUM(Q$1:Q770)&amp;" of "</f>
        <v>Page 10 of </v>
      </c>
      <c r="P770" s="598">
        <f>COUNT(Q$6:Q$57776)</f>
        <v>10</v>
      </c>
      <c r="Q770" s="772">
        <v>1</v>
      </c>
    </row>
    <row r="771" spans="2:17" ht="12.75">
      <c r="B771" s="546"/>
      <c r="C771" s="546"/>
      <c r="D771" s="569"/>
      <c r="E771" s="546"/>
      <c r="F771" s="546"/>
      <c r="G771" s="546"/>
      <c r="H771" s="546"/>
      <c r="I771" s="652"/>
      <c r="J771" s="546"/>
      <c r="K771" s="594"/>
      <c r="Q771" s="594"/>
    </row>
    <row r="772" spans="2:17" ht="18">
      <c r="B772" s="601" t="s">
        <v>176</v>
      </c>
      <c r="C772" s="683" t="s">
        <v>292</v>
      </c>
      <c r="D772" s="569"/>
      <c r="E772" s="546"/>
      <c r="F772" s="546"/>
      <c r="G772" s="546"/>
      <c r="H772" s="546"/>
      <c r="I772" s="652"/>
      <c r="J772" s="652"/>
      <c r="K772" s="675"/>
      <c r="L772" s="652"/>
      <c r="M772" s="652"/>
      <c r="N772" s="652"/>
      <c r="O772" s="652"/>
      <c r="Q772" s="675"/>
    </row>
    <row r="773" spans="2:17" ht="18.75">
      <c r="B773" s="601"/>
      <c r="C773" s="600"/>
      <c r="D773" s="569"/>
      <c r="E773" s="546"/>
      <c r="F773" s="546"/>
      <c r="G773" s="546"/>
      <c r="H773" s="546"/>
      <c r="I773" s="652"/>
      <c r="J773" s="652"/>
      <c r="K773" s="675"/>
      <c r="L773" s="652"/>
      <c r="M773" s="652"/>
      <c r="N773" s="652"/>
      <c r="O773" s="652"/>
      <c r="Q773" s="675"/>
    </row>
    <row r="774" spans="2:17" ht="18.75">
      <c r="B774" s="601"/>
      <c r="C774" s="600" t="s">
        <v>293</v>
      </c>
      <c r="D774" s="569"/>
      <c r="E774" s="546"/>
      <c r="F774" s="546"/>
      <c r="G774" s="546"/>
      <c r="H774" s="546"/>
      <c r="I774" s="652"/>
      <c r="J774" s="652"/>
      <c r="K774" s="675"/>
      <c r="L774" s="652"/>
      <c r="M774" s="652"/>
      <c r="N774" s="652"/>
      <c r="O774" s="652"/>
      <c r="Q774" s="675"/>
    </row>
    <row r="775" spans="2:17" ht="15.75" thickBot="1">
      <c r="B775" s="330"/>
      <c r="C775" s="396"/>
      <c r="D775" s="569"/>
      <c r="E775" s="546"/>
      <c r="F775" s="546"/>
      <c r="G775" s="546"/>
      <c r="H775" s="546"/>
      <c r="I775" s="652"/>
      <c r="J775" s="652"/>
      <c r="K775" s="675"/>
      <c r="L775" s="652"/>
      <c r="M775" s="652"/>
      <c r="N775" s="652"/>
      <c r="O775" s="652"/>
      <c r="Q775" s="675"/>
    </row>
    <row r="776" spans="2:17" ht="15.75">
      <c r="B776" s="330"/>
      <c r="C776" s="602" t="s">
        <v>294</v>
      </c>
      <c r="D776" s="569"/>
      <c r="E776" s="546"/>
      <c r="F776" s="546"/>
      <c r="G776" s="546"/>
      <c r="H776" s="851"/>
      <c r="I776" s="546" t="s">
        <v>273</v>
      </c>
      <c r="J776" s="546"/>
      <c r="K776" s="594"/>
      <c r="L776" s="773">
        <f>+J782</f>
        <v>2017</v>
      </c>
      <c r="M776" s="755" t="s">
        <v>256</v>
      </c>
      <c r="N776" s="755" t="s">
        <v>257</v>
      </c>
      <c r="O776" s="756" t="s">
        <v>258</v>
      </c>
      <c r="Q776" s="594"/>
    </row>
    <row r="777" spans="2:17" ht="15.75">
      <c r="B777" s="330"/>
      <c r="C777" s="602"/>
      <c r="D777" s="569"/>
      <c r="E777" s="546"/>
      <c r="F777" s="546"/>
      <c r="H777" s="546"/>
      <c r="I777" s="688"/>
      <c r="J777" s="688"/>
      <c r="K777" s="689"/>
      <c r="L777" s="774" t="s">
        <v>457</v>
      </c>
      <c r="M777" s="775">
        <f>VLOOKUP(J782,C789:P848,10)</f>
        <v>0</v>
      </c>
      <c r="N777" s="775">
        <f>VLOOKUP(J782,C789:P848,12)</f>
        <v>0</v>
      </c>
      <c r="O777" s="776">
        <f>+N777-M777</f>
        <v>0</v>
      </c>
      <c r="Q777" s="689"/>
    </row>
    <row r="778" spans="2:17" ht="12.75">
      <c r="B778" s="330"/>
      <c r="C778" s="693" t="s">
        <v>295</v>
      </c>
      <c r="D778" s="1524" t="s">
        <v>977</v>
      </c>
      <c r="E778" s="1525"/>
      <c r="F778" s="1525"/>
      <c r="G778" s="1525"/>
      <c r="H778" s="1525"/>
      <c r="I778" s="1525"/>
      <c r="J778" s="652"/>
      <c r="K778" s="675"/>
      <c r="L778" s="774" t="s">
        <v>458</v>
      </c>
      <c r="M778" s="777">
        <f>VLOOKUP(J782,C789:P848,6)</f>
        <v>90997.11330584827</v>
      </c>
      <c r="N778" s="777">
        <f>VLOOKUP(J782,C789:P848,7)</f>
        <v>90997.11330584827</v>
      </c>
      <c r="O778" s="778">
        <f>+N778-M778</f>
        <v>0</v>
      </c>
      <c r="Q778" s="675"/>
    </row>
    <row r="779" spans="2:17" ht="13.5" thickBot="1">
      <c r="B779" s="330"/>
      <c r="C779" s="697"/>
      <c r="D779" s="1525"/>
      <c r="E779" s="1525"/>
      <c r="F779" s="1525"/>
      <c r="G779" s="1525"/>
      <c r="H779" s="1525"/>
      <c r="I779" s="1525"/>
      <c r="J779" s="652"/>
      <c r="K779" s="675"/>
      <c r="L779" s="718" t="s">
        <v>459</v>
      </c>
      <c r="M779" s="779">
        <f>+M778-M777</f>
        <v>90997.11330584827</v>
      </c>
      <c r="N779" s="779">
        <f>+N778-N777</f>
        <v>90997.11330584827</v>
      </c>
      <c r="O779" s="780">
        <f>+O778-O777</f>
        <v>0</v>
      </c>
      <c r="Q779" s="675"/>
    </row>
    <row r="780" spans="2:17" ht="13.5" thickBot="1">
      <c r="B780" s="330"/>
      <c r="C780" s="700"/>
      <c r="D780" s="701"/>
      <c r="E780" s="699"/>
      <c r="F780" s="699"/>
      <c r="G780" s="699"/>
      <c r="H780" s="699"/>
      <c r="I780" s="699"/>
      <c r="J780" s="699"/>
      <c r="K780" s="702"/>
      <c r="L780" s="699"/>
      <c r="M780" s="699"/>
      <c r="N780" s="699"/>
      <c r="O780" s="699"/>
      <c r="P780" s="582"/>
      <c r="Q780" s="702"/>
    </row>
    <row r="781" spans="2:17" ht="13.5" thickBot="1">
      <c r="B781" s="330"/>
      <c r="C781" s="704" t="s">
        <v>296</v>
      </c>
      <c r="D781" s="705"/>
      <c r="E781" s="705"/>
      <c r="F781" s="705"/>
      <c r="G781" s="705"/>
      <c r="H781" s="705"/>
      <c r="I781" s="705"/>
      <c r="J781" s="705"/>
      <c r="K781" s="707"/>
      <c r="P781" s="708"/>
      <c r="Q781" s="707"/>
    </row>
    <row r="782" spans="1:17" ht="15">
      <c r="A782" s="703"/>
      <c r="B782" s="330"/>
      <c r="C782" s="710" t="s">
        <v>274</v>
      </c>
      <c r="D782" s="1296">
        <v>633540</v>
      </c>
      <c r="E782" s="661" t="s">
        <v>275</v>
      </c>
      <c r="H782" s="711"/>
      <c r="I782" s="711"/>
      <c r="J782" s="712">
        <v>2017</v>
      </c>
      <c r="K782" s="592"/>
      <c r="L782" s="1515" t="s">
        <v>276</v>
      </c>
      <c r="M782" s="1515"/>
      <c r="N782" s="1515"/>
      <c r="O782" s="1515"/>
      <c r="P782" s="594"/>
      <c r="Q782" s="592"/>
    </row>
    <row r="783" spans="1:17" ht="12.75">
      <c r="A783" s="703"/>
      <c r="B783" s="330"/>
      <c r="C783" s="710" t="s">
        <v>277</v>
      </c>
      <c r="D783" s="1298">
        <v>2016</v>
      </c>
      <c r="E783" s="710" t="s">
        <v>278</v>
      </c>
      <c r="F783" s="711"/>
      <c r="G783" s="711"/>
      <c r="I783" s="330"/>
      <c r="J783" s="856">
        <v>0</v>
      </c>
      <c r="K783" s="713"/>
      <c r="L783" s="675" t="s">
        <v>477</v>
      </c>
      <c r="P783" s="594"/>
      <c r="Q783" s="713"/>
    </row>
    <row r="784" spans="1:17" ht="12.75">
      <c r="A784" s="703"/>
      <c r="B784" s="330"/>
      <c r="C784" s="710" t="s">
        <v>279</v>
      </c>
      <c r="D784" s="1297">
        <v>6</v>
      </c>
      <c r="E784" s="710" t="s">
        <v>280</v>
      </c>
      <c r="F784" s="711"/>
      <c r="G784" s="711"/>
      <c r="I784" s="330"/>
      <c r="J784" s="714">
        <f>$F$68</f>
        <v>0.12860879667906705</v>
      </c>
      <c r="K784" s="715"/>
      <c r="L784" s="546" t="str">
        <f>"          INPUT TRUE-UP ARR (WITH &amp; WITHOUT INCENTIVES) FROM EACH PRIOR YEAR"</f>
        <v>          INPUT TRUE-UP ARR (WITH &amp; WITHOUT INCENTIVES) FROM EACH PRIOR YEAR</v>
      </c>
      <c r="P784" s="594"/>
      <c r="Q784" s="715"/>
    </row>
    <row r="785" spans="1:17" ht="12.75">
      <c r="A785" s="703"/>
      <c r="B785" s="330"/>
      <c r="C785" s="710" t="s">
        <v>281</v>
      </c>
      <c r="D785" s="716">
        <f>$H$77</f>
        <v>58</v>
      </c>
      <c r="E785" s="710" t="s">
        <v>282</v>
      </c>
      <c r="F785" s="711"/>
      <c r="G785" s="711"/>
      <c r="I785" s="330"/>
      <c r="J785" s="714">
        <f>IF(H776="",J784,$F$67)</f>
        <v>0.12860879667906705</v>
      </c>
      <c r="K785" s="717"/>
      <c r="L785" s="546" t="s">
        <v>364</v>
      </c>
      <c r="M785" s="717"/>
      <c r="N785" s="717"/>
      <c r="O785" s="717"/>
      <c r="P785" s="594"/>
      <c r="Q785" s="717"/>
    </row>
    <row r="786" spans="1:17" ht="13.5" thickBot="1">
      <c r="A786" s="703"/>
      <c r="B786" s="330"/>
      <c r="C786" s="710" t="s">
        <v>283</v>
      </c>
      <c r="D786" s="855" t="s">
        <v>879</v>
      </c>
      <c r="E786" s="718" t="s">
        <v>284</v>
      </c>
      <c r="F786" s="719"/>
      <c r="G786" s="719"/>
      <c r="H786" s="720"/>
      <c r="I786" s="720"/>
      <c r="J786" s="696">
        <f>IF(D782=0,0,D782/D785)</f>
        <v>10923.103448275862</v>
      </c>
      <c r="K786" s="675"/>
      <c r="L786" s="675" t="s">
        <v>365</v>
      </c>
      <c r="M786" s="675"/>
      <c r="N786" s="675"/>
      <c r="O786" s="675"/>
      <c r="P786" s="594"/>
      <c r="Q786" s="675"/>
    </row>
    <row r="787" spans="1:17" ht="38.25">
      <c r="A787" s="531"/>
      <c r="B787" s="531"/>
      <c r="C787" s="721" t="s">
        <v>274</v>
      </c>
      <c r="D787" s="722" t="s">
        <v>285</v>
      </c>
      <c r="E787" s="723" t="s">
        <v>286</v>
      </c>
      <c r="F787" s="722" t="s">
        <v>287</v>
      </c>
      <c r="G787" s="722" t="s">
        <v>460</v>
      </c>
      <c r="H787" s="723" t="s">
        <v>358</v>
      </c>
      <c r="I787" s="724" t="s">
        <v>358</v>
      </c>
      <c r="J787" s="721" t="s">
        <v>297</v>
      </c>
      <c r="K787" s="725"/>
      <c r="L787" s="723" t="s">
        <v>360</v>
      </c>
      <c r="M787" s="723" t="s">
        <v>366</v>
      </c>
      <c r="N787" s="723" t="s">
        <v>360</v>
      </c>
      <c r="O787" s="723" t="s">
        <v>368</v>
      </c>
      <c r="P787" s="723" t="s">
        <v>288</v>
      </c>
      <c r="Q787" s="727"/>
    </row>
    <row r="788" spans="2:17" ht="13.5" thickBot="1">
      <c r="B788" s="330"/>
      <c r="C788" s="728" t="s">
        <v>179</v>
      </c>
      <c r="D788" s="729" t="s">
        <v>180</v>
      </c>
      <c r="E788" s="728" t="s">
        <v>38</v>
      </c>
      <c r="F788" s="729" t="s">
        <v>180</v>
      </c>
      <c r="G788" s="729" t="s">
        <v>180</v>
      </c>
      <c r="H788" s="730" t="s">
        <v>300</v>
      </c>
      <c r="I788" s="731" t="s">
        <v>302</v>
      </c>
      <c r="J788" s="732" t="s">
        <v>391</v>
      </c>
      <c r="K788" s="733"/>
      <c r="L788" s="730" t="s">
        <v>289</v>
      </c>
      <c r="M788" s="730" t="s">
        <v>289</v>
      </c>
      <c r="N788" s="730" t="s">
        <v>469</v>
      </c>
      <c r="O788" s="730" t="s">
        <v>469</v>
      </c>
      <c r="P788" s="730" t="s">
        <v>469</v>
      </c>
      <c r="Q788" s="592"/>
    </row>
    <row r="789" spans="2:17" ht="12.75">
      <c r="B789" s="330"/>
      <c r="C789" s="735">
        <f>IF(D783="","-",D783)</f>
        <v>2016</v>
      </c>
      <c r="D789" s="679">
        <f>+D782</f>
        <v>633540</v>
      </c>
      <c r="E789" s="736">
        <f>+J786/12*(12-D784)</f>
        <v>5461.551724137931</v>
      </c>
      <c r="F789" s="781">
        <f aca="true" t="shared" si="72" ref="F789:F848">+D789-E789</f>
        <v>628078.448275862</v>
      </c>
      <c r="G789" s="679">
        <f aca="true" t="shared" si="73" ref="G789:G848">+(D789+F789)/2</f>
        <v>630809.224137931</v>
      </c>
      <c r="H789" s="737">
        <f>+J784*G789+E789</f>
        <v>86589.16697457313</v>
      </c>
      <c r="I789" s="738">
        <f>+J785*G789+E789</f>
        <v>86589.16697457313</v>
      </c>
      <c r="J789" s="739">
        <f aca="true" t="shared" si="74" ref="J789:J848">+I789-H789</f>
        <v>0</v>
      </c>
      <c r="K789" s="739"/>
      <c r="L789" s="1255">
        <v>0</v>
      </c>
      <c r="M789" s="782">
        <f aca="true" t="shared" si="75" ref="M789:M848">IF(L789&lt;&gt;0,+H789-L789,0)</f>
        <v>0</v>
      </c>
      <c r="N789" s="1255">
        <v>0</v>
      </c>
      <c r="O789" s="782">
        <f aca="true" t="shared" si="76" ref="O789:O848">IF(N789&lt;&gt;0,+I789-N789,0)</f>
        <v>0</v>
      </c>
      <c r="P789" s="782">
        <f aca="true" t="shared" si="77" ref="P789:P848">+O789-M789</f>
        <v>0</v>
      </c>
      <c r="Q789" s="680"/>
    </row>
    <row r="790" spans="2:17" ht="12.75">
      <c r="B790" s="330"/>
      <c r="C790" s="1229">
        <f>IF(D783="","-",+C789+1)</f>
        <v>2017</v>
      </c>
      <c r="D790" s="679">
        <f aca="true" t="shared" si="78" ref="D790:D848">F789</f>
        <v>628078.448275862</v>
      </c>
      <c r="E790" s="741">
        <f>IF(D790&gt;$J$786,$J$786,D790)</f>
        <v>10923.103448275862</v>
      </c>
      <c r="F790" s="741">
        <f t="shared" si="72"/>
        <v>617155.3448275862</v>
      </c>
      <c r="G790" s="679">
        <f t="shared" si="73"/>
        <v>622616.896551724</v>
      </c>
      <c r="H790" s="736">
        <f>+J784*G790+E790</f>
        <v>90997.11330584827</v>
      </c>
      <c r="I790" s="742">
        <f>+J785*G790+E790</f>
        <v>90997.11330584827</v>
      </c>
      <c r="J790" s="739">
        <f t="shared" si="74"/>
        <v>0</v>
      </c>
      <c r="K790" s="739"/>
      <c r="L790" s="1256"/>
      <c r="M790" s="739">
        <f t="shared" si="75"/>
        <v>0</v>
      </c>
      <c r="N790" s="1256"/>
      <c r="O790" s="739">
        <f t="shared" si="76"/>
        <v>0</v>
      </c>
      <c r="P790" s="739">
        <f t="shared" si="77"/>
        <v>0</v>
      </c>
      <c r="Q790" s="680"/>
    </row>
    <row r="791" spans="2:17" ht="12.75">
      <c r="B791" s="330"/>
      <c r="C791" s="735">
        <f>IF(D783="","-",+C790+1)</f>
        <v>2018</v>
      </c>
      <c r="D791" s="679">
        <f t="shared" si="78"/>
        <v>617155.3448275862</v>
      </c>
      <c r="E791" s="741">
        <f aca="true" t="shared" si="79" ref="E791:E848">IF(D791&gt;$J$786,$J$786,D791)</f>
        <v>10923.103448275862</v>
      </c>
      <c r="F791" s="741">
        <f t="shared" si="72"/>
        <v>606232.2413793104</v>
      </c>
      <c r="G791" s="679">
        <f t="shared" si="73"/>
        <v>611693.7931034483</v>
      </c>
      <c r="H791" s="736">
        <f>+J784*G791+E791</f>
        <v>89592.30611536457</v>
      </c>
      <c r="I791" s="742">
        <f>+J785*G791+E791</f>
        <v>89592.30611536457</v>
      </c>
      <c r="J791" s="739">
        <f t="shared" si="74"/>
        <v>0</v>
      </c>
      <c r="K791" s="739"/>
      <c r="L791" s="1256"/>
      <c r="M791" s="739">
        <f t="shared" si="75"/>
        <v>0</v>
      </c>
      <c r="N791" s="1256"/>
      <c r="O791" s="739">
        <f t="shared" si="76"/>
        <v>0</v>
      </c>
      <c r="P791" s="739">
        <f t="shared" si="77"/>
        <v>0</v>
      </c>
      <c r="Q791" s="680"/>
    </row>
    <row r="792" spans="2:17" ht="12.75">
      <c r="B792" s="330"/>
      <c r="C792" s="1258">
        <f>IF(D783="","-",+C791+1)</f>
        <v>2019</v>
      </c>
      <c r="D792" s="679">
        <f t="shared" si="78"/>
        <v>606232.2413793104</v>
      </c>
      <c r="E792" s="741">
        <f t="shared" si="79"/>
        <v>10923.103448275862</v>
      </c>
      <c r="F792" s="741">
        <f t="shared" si="72"/>
        <v>595309.1379310346</v>
      </c>
      <c r="G792" s="679">
        <f t="shared" si="73"/>
        <v>600770.6896551724</v>
      </c>
      <c r="H792" s="736">
        <f>+J784*G792+E792</f>
        <v>88187.49892488081</v>
      </c>
      <c r="I792" s="742">
        <f>+J785*G792+E792</f>
        <v>88187.49892488081</v>
      </c>
      <c r="J792" s="739">
        <f t="shared" si="74"/>
        <v>0</v>
      </c>
      <c r="K792" s="739"/>
      <c r="L792" s="1256"/>
      <c r="M792" s="739">
        <f t="shared" si="75"/>
        <v>0</v>
      </c>
      <c r="N792" s="1256"/>
      <c r="O792" s="739">
        <f t="shared" si="76"/>
        <v>0</v>
      </c>
      <c r="P792" s="739">
        <f t="shared" si="77"/>
        <v>0</v>
      </c>
      <c r="Q792" s="680"/>
    </row>
    <row r="793" spans="2:17" ht="12.75">
      <c r="B793" s="330"/>
      <c r="C793" s="735">
        <f>IF(D783="","-",+C792+1)</f>
        <v>2020</v>
      </c>
      <c r="D793" s="679">
        <f t="shared" si="78"/>
        <v>595309.1379310346</v>
      </c>
      <c r="E793" s="741">
        <f t="shared" si="79"/>
        <v>10923.103448275862</v>
      </c>
      <c r="F793" s="741">
        <f t="shared" si="72"/>
        <v>584386.0344827587</v>
      </c>
      <c r="G793" s="679">
        <f t="shared" si="73"/>
        <v>589847.5862068967</v>
      </c>
      <c r="H793" s="736">
        <f>+J784*G793+E793</f>
        <v>86782.69173439711</v>
      </c>
      <c r="I793" s="742">
        <f>+J785*G793+E793</f>
        <v>86782.69173439711</v>
      </c>
      <c r="J793" s="739">
        <f t="shared" si="74"/>
        <v>0</v>
      </c>
      <c r="K793" s="739"/>
      <c r="L793" s="1256"/>
      <c r="M793" s="739">
        <f t="shared" si="75"/>
        <v>0</v>
      </c>
      <c r="N793" s="1256"/>
      <c r="O793" s="739">
        <f t="shared" si="76"/>
        <v>0</v>
      </c>
      <c r="P793" s="739">
        <f t="shared" si="77"/>
        <v>0</v>
      </c>
      <c r="Q793" s="680"/>
    </row>
    <row r="794" spans="2:17" ht="12.75">
      <c r="B794" s="330"/>
      <c r="C794" s="735">
        <f>IF(D783="","-",+C793+1)</f>
        <v>2021</v>
      </c>
      <c r="D794" s="679">
        <f t="shared" si="78"/>
        <v>584386.0344827587</v>
      </c>
      <c r="E794" s="741">
        <f t="shared" si="79"/>
        <v>10923.103448275862</v>
      </c>
      <c r="F794" s="741">
        <f t="shared" si="72"/>
        <v>573462.9310344829</v>
      </c>
      <c r="G794" s="679">
        <f t="shared" si="73"/>
        <v>578924.4827586208</v>
      </c>
      <c r="H794" s="736">
        <f>+J784*G794+E794</f>
        <v>85377.88454391339</v>
      </c>
      <c r="I794" s="742">
        <f>+J785*G794+E794</f>
        <v>85377.88454391339</v>
      </c>
      <c r="J794" s="739">
        <f t="shared" si="74"/>
        <v>0</v>
      </c>
      <c r="K794" s="739"/>
      <c r="L794" s="1256"/>
      <c r="M794" s="739">
        <f t="shared" si="75"/>
        <v>0</v>
      </c>
      <c r="N794" s="1256"/>
      <c r="O794" s="739">
        <f t="shared" si="76"/>
        <v>0</v>
      </c>
      <c r="P794" s="739">
        <f t="shared" si="77"/>
        <v>0</v>
      </c>
      <c r="Q794" s="680"/>
    </row>
    <row r="795" spans="2:17" ht="12.75">
      <c r="B795" s="330"/>
      <c r="C795" s="735">
        <f>IF(D783="","-",+C794+1)</f>
        <v>2022</v>
      </c>
      <c r="D795" s="679">
        <f t="shared" si="78"/>
        <v>573462.9310344829</v>
      </c>
      <c r="E795" s="741">
        <f t="shared" si="79"/>
        <v>10923.103448275862</v>
      </c>
      <c r="F795" s="741">
        <f t="shared" si="72"/>
        <v>562539.8275862071</v>
      </c>
      <c r="G795" s="679">
        <f t="shared" si="73"/>
        <v>568001.379310345</v>
      </c>
      <c r="H795" s="736">
        <f>+J784*G795+E795</f>
        <v>83973.07735342966</v>
      </c>
      <c r="I795" s="742">
        <f>+J785*G795+E795</f>
        <v>83973.07735342966</v>
      </c>
      <c r="J795" s="739">
        <f t="shared" si="74"/>
        <v>0</v>
      </c>
      <c r="K795" s="739"/>
      <c r="L795" s="1256"/>
      <c r="M795" s="739">
        <f t="shared" si="75"/>
        <v>0</v>
      </c>
      <c r="N795" s="1256"/>
      <c r="O795" s="739">
        <f t="shared" si="76"/>
        <v>0</v>
      </c>
      <c r="P795" s="739">
        <f t="shared" si="77"/>
        <v>0</v>
      </c>
      <c r="Q795" s="680"/>
    </row>
    <row r="796" spans="2:17" ht="12.75">
      <c r="B796" s="330"/>
      <c r="C796" s="735">
        <f>IF(D783="","-",+C795+1)</f>
        <v>2023</v>
      </c>
      <c r="D796" s="679">
        <f t="shared" si="78"/>
        <v>562539.8275862071</v>
      </c>
      <c r="E796" s="741">
        <f t="shared" si="79"/>
        <v>10923.103448275862</v>
      </c>
      <c r="F796" s="741">
        <f t="shared" si="72"/>
        <v>551616.7241379312</v>
      </c>
      <c r="G796" s="679">
        <f t="shared" si="73"/>
        <v>557078.2758620691</v>
      </c>
      <c r="H796" s="736">
        <f>+J784*G796+E796</f>
        <v>82568.27016294593</v>
      </c>
      <c r="I796" s="742">
        <f>+J785*G796+E796</f>
        <v>82568.27016294593</v>
      </c>
      <c r="J796" s="739">
        <f t="shared" si="74"/>
        <v>0</v>
      </c>
      <c r="K796" s="739"/>
      <c r="L796" s="1256"/>
      <c r="M796" s="739">
        <f t="shared" si="75"/>
        <v>0</v>
      </c>
      <c r="N796" s="1256"/>
      <c r="O796" s="739">
        <f t="shared" si="76"/>
        <v>0</v>
      </c>
      <c r="P796" s="739">
        <f t="shared" si="77"/>
        <v>0</v>
      </c>
      <c r="Q796" s="680"/>
    </row>
    <row r="797" spans="2:17" ht="12.75">
      <c r="B797" s="330"/>
      <c r="C797" s="735">
        <f>IF(D783="","-",+C796+1)</f>
        <v>2024</v>
      </c>
      <c r="D797" s="679">
        <f t="shared" si="78"/>
        <v>551616.7241379312</v>
      </c>
      <c r="E797" s="741">
        <f t="shared" si="79"/>
        <v>10923.103448275862</v>
      </c>
      <c r="F797" s="741">
        <f t="shared" si="72"/>
        <v>540693.6206896554</v>
      </c>
      <c r="G797" s="679">
        <f t="shared" si="73"/>
        <v>546155.1724137934</v>
      </c>
      <c r="H797" s="736">
        <f>+J784*G797+E797</f>
        <v>81163.46297246224</v>
      </c>
      <c r="I797" s="742">
        <f>+J785*G797+E797</f>
        <v>81163.46297246224</v>
      </c>
      <c r="J797" s="739">
        <f t="shared" si="74"/>
        <v>0</v>
      </c>
      <c r="K797" s="739"/>
      <c r="L797" s="1256"/>
      <c r="M797" s="739">
        <f t="shared" si="75"/>
        <v>0</v>
      </c>
      <c r="N797" s="1256"/>
      <c r="O797" s="739">
        <f t="shared" si="76"/>
        <v>0</v>
      </c>
      <c r="P797" s="739">
        <f t="shared" si="77"/>
        <v>0</v>
      </c>
      <c r="Q797" s="680"/>
    </row>
    <row r="798" spans="2:17" ht="12.75">
      <c r="B798" s="330"/>
      <c r="C798" s="1258">
        <f>IF(D783="","-",+C797+1)</f>
        <v>2025</v>
      </c>
      <c r="D798" s="679">
        <f t="shared" si="78"/>
        <v>540693.6206896554</v>
      </c>
      <c r="E798" s="741">
        <f t="shared" si="79"/>
        <v>10923.103448275862</v>
      </c>
      <c r="F798" s="741">
        <f t="shared" si="72"/>
        <v>529770.5172413796</v>
      </c>
      <c r="G798" s="679">
        <f t="shared" si="73"/>
        <v>535232.0689655175</v>
      </c>
      <c r="H798" s="736">
        <f>+J784*G798+E798</f>
        <v>79758.65578197848</v>
      </c>
      <c r="I798" s="742">
        <f>+J785*G798+E798</f>
        <v>79758.65578197848</v>
      </c>
      <c r="J798" s="739">
        <f t="shared" si="74"/>
        <v>0</v>
      </c>
      <c r="K798" s="739"/>
      <c r="L798" s="1256"/>
      <c r="M798" s="739">
        <f t="shared" si="75"/>
        <v>0</v>
      </c>
      <c r="N798" s="1256"/>
      <c r="O798" s="739">
        <f t="shared" si="76"/>
        <v>0</v>
      </c>
      <c r="P798" s="739">
        <f t="shared" si="77"/>
        <v>0</v>
      </c>
      <c r="Q798" s="680"/>
    </row>
    <row r="799" spans="2:17" ht="12.75">
      <c r="B799" s="330"/>
      <c r="C799" s="735">
        <f>IF(D783="","-",+C798+1)</f>
        <v>2026</v>
      </c>
      <c r="D799" s="679">
        <f t="shared" si="78"/>
        <v>529770.5172413796</v>
      </c>
      <c r="E799" s="741">
        <f t="shared" si="79"/>
        <v>10923.103448275862</v>
      </c>
      <c r="F799" s="741">
        <f t="shared" si="72"/>
        <v>518847.4137931037</v>
      </c>
      <c r="G799" s="679">
        <f t="shared" si="73"/>
        <v>524308.9655172416</v>
      </c>
      <c r="H799" s="736">
        <f>+J784*G799+E799</f>
        <v>78353.84859149478</v>
      </c>
      <c r="I799" s="742">
        <f>+J785*G799+E799</f>
        <v>78353.84859149478</v>
      </c>
      <c r="J799" s="739">
        <f t="shared" si="74"/>
        <v>0</v>
      </c>
      <c r="K799" s="739"/>
      <c r="L799" s="1256"/>
      <c r="M799" s="739">
        <f t="shared" si="75"/>
        <v>0</v>
      </c>
      <c r="N799" s="1256"/>
      <c r="O799" s="739">
        <f t="shared" si="76"/>
        <v>0</v>
      </c>
      <c r="P799" s="739">
        <f t="shared" si="77"/>
        <v>0</v>
      </c>
      <c r="Q799" s="680"/>
    </row>
    <row r="800" spans="2:17" ht="12.75">
      <c r="B800" s="330"/>
      <c r="C800" s="735">
        <f>IF(D783="","-",+C799+1)</f>
        <v>2027</v>
      </c>
      <c r="D800" s="679">
        <f t="shared" si="78"/>
        <v>518847.4137931037</v>
      </c>
      <c r="E800" s="741">
        <f t="shared" si="79"/>
        <v>10923.103448275862</v>
      </c>
      <c r="F800" s="741">
        <f t="shared" si="72"/>
        <v>507924.3103448278</v>
      </c>
      <c r="G800" s="679">
        <f t="shared" si="73"/>
        <v>513385.8620689658</v>
      </c>
      <c r="H800" s="736">
        <f>+J784*G800+E800</f>
        <v>76949.04140101105</v>
      </c>
      <c r="I800" s="742">
        <f>+J785*G800+E800</f>
        <v>76949.04140101105</v>
      </c>
      <c r="J800" s="739">
        <f t="shared" si="74"/>
        <v>0</v>
      </c>
      <c r="K800" s="739"/>
      <c r="L800" s="1256"/>
      <c r="M800" s="739">
        <f t="shared" si="75"/>
        <v>0</v>
      </c>
      <c r="N800" s="1256"/>
      <c r="O800" s="739">
        <f t="shared" si="76"/>
        <v>0</v>
      </c>
      <c r="P800" s="739">
        <f t="shared" si="77"/>
        <v>0</v>
      </c>
      <c r="Q800" s="680"/>
    </row>
    <row r="801" spans="2:17" ht="12.75">
      <c r="B801" s="330"/>
      <c r="C801" s="735">
        <f>IF(D783="","-",+C800+1)</f>
        <v>2028</v>
      </c>
      <c r="D801" s="679">
        <f t="shared" si="78"/>
        <v>507924.3103448278</v>
      </c>
      <c r="E801" s="741">
        <f t="shared" si="79"/>
        <v>10923.103448275862</v>
      </c>
      <c r="F801" s="741">
        <f t="shared" si="72"/>
        <v>497001.20689655194</v>
      </c>
      <c r="G801" s="679">
        <f t="shared" si="73"/>
        <v>502462.75862068986</v>
      </c>
      <c r="H801" s="736">
        <f>+J784*G801+E801</f>
        <v>75544.2342105273</v>
      </c>
      <c r="I801" s="742">
        <f>+J785*G801+E801</f>
        <v>75544.2342105273</v>
      </c>
      <c r="J801" s="739">
        <f t="shared" si="74"/>
        <v>0</v>
      </c>
      <c r="K801" s="739"/>
      <c r="L801" s="1256"/>
      <c r="M801" s="739">
        <f t="shared" si="75"/>
        <v>0</v>
      </c>
      <c r="N801" s="1256"/>
      <c r="O801" s="739">
        <f t="shared" si="76"/>
        <v>0</v>
      </c>
      <c r="P801" s="739">
        <f t="shared" si="77"/>
        <v>0</v>
      </c>
      <c r="Q801" s="680"/>
    </row>
    <row r="802" spans="2:17" ht="12.75">
      <c r="B802" s="330"/>
      <c r="C802" s="735">
        <f>IF(D783="","-",+C801+1)</f>
        <v>2029</v>
      </c>
      <c r="D802" s="679">
        <f t="shared" si="78"/>
        <v>497001.20689655194</v>
      </c>
      <c r="E802" s="741">
        <f t="shared" si="79"/>
        <v>10923.103448275862</v>
      </c>
      <c r="F802" s="741">
        <f t="shared" si="72"/>
        <v>486078.10344827606</v>
      </c>
      <c r="G802" s="679">
        <f t="shared" si="73"/>
        <v>491539.65517241403</v>
      </c>
      <c r="H802" s="736">
        <f>+J784*G802+E802</f>
        <v>74139.42702004359</v>
      </c>
      <c r="I802" s="742">
        <f>+J785*G802+E802</f>
        <v>74139.42702004359</v>
      </c>
      <c r="J802" s="739">
        <f t="shared" si="74"/>
        <v>0</v>
      </c>
      <c r="K802" s="739"/>
      <c r="L802" s="1256"/>
      <c r="M802" s="739">
        <f t="shared" si="75"/>
        <v>0</v>
      </c>
      <c r="N802" s="1256"/>
      <c r="O802" s="739">
        <f t="shared" si="76"/>
        <v>0</v>
      </c>
      <c r="P802" s="739">
        <f t="shared" si="77"/>
        <v>0</v>
      </c>
      <c r="Q802" s="680"/>
    </row>
    <row r="803" spans="2:17" ht="12.75">
      <c r="B803" s="330"/>
      <c r="C803" s="735">
        <f>IF(D783="","-",+C802+1)</f>
        <v>2030</v>
      </c>
      <c r="D803" s="679">
        <f t="shared" si="78"/>
        <v>486078.10344827606</v>
      </c>
      <c r="E803" s="741">
        <f t="shared" si="79"/>
        <v>10923.103448275862</v>
      </c>
      <c r="F803" s="741">
        <f t="shared" si="72"/>
        <v>475155.0000000002</v>
      </c>
      <c r="G803" s="679">
        <f t="shared" si="73"/>
        <v>480616.5517241381</v>
      </c>
      <c r="H803" s="736">
        <f>+J784*G803+E803</f>
        <v>72734.61982955984</v>
      </c>
      <c r="I803" s="742">
        <f>+J785*G803+E803</f>
        <v>72734.61982955984</v>
      </c>
      <c r="J803" s="739">
        <f t="shared" si="74"/>
        <v>0</v>
      </c>
      <c r="K803" s="739"/>
      <c r="L803" s="1256"/>
      <c r="M803" s="739">
        <f t="shared" si="75"/>
        <v>0</v>
      </c>
      <c r="N803" s="1256"/>
      <c r="O803" s="739">
        <f t="shared" si="76"/>
        <v>0</v>
      </c>
      <c r="P803" s="739">
        <f t="shared" si="77"/>
        <v>0</v>
      </c>
      <c r="Q803" s="680"/>
    </row>
    <row r="804" spans="2:17" ht="12.75">
      <c r="B804" s="330"/>
      <c r="C804" s="735">
        <f>IF(D783="","-",+C803+1)</f>
        <v>2031</v>
      </c>
      <c r="D804" s="679">
        <f t="shared" si="78"/>
        <v>475155.0000000002</v>
      </c>
      <c r="E804" s="741">
        <f t="shared" si="79"/>
        <v>10923.103448275862</v>
      </c>
      <c r="F804" s="741">
        <f t="shared" si="72"/>
        <v>464231.8965517243</v>
      </c>
      <c r="G804" s="679">
        <f t="shared" si="73"/>
        <v>469693.44827586226</v>
      </c>
      <c r="H804" s="736">
        <f>+J784*G804+E804</f>
        <v>71329.81263907612</v>
      </c>
      <c r="I804" s="742">
        <f>+J785*G804+E804</f>
        <v>71329.81263907612</v>
      </c>
      <c r="J804" s="739">
        <f t="shared" si="74"/>
        <v>0</v>
      </c>
      <c r="K804" s="739"/>
      <c r="L804" s="1256"/>
      <c r="M804" s="739">
        <f t="shared" si="75"/>
        <v>0</v>
      </c>
      <c r="N804" s="1256"/>
      <c r="O804" s="739">
        <f t="shared" si="76"/>
        <v>0</v>
      </c>
      <c r="P804" s="739">
        <f t="shared" si="77"/>
        <v>0</v>
      </c>
      <c r="Q804" s="680"/>
    </row>
    <row r="805" spans="2:17" ht="12.75">
      <c r="B805" s="330"/>
      <c r="C805" s="735">
        <f>IF(D783="","-",+C804+1)</f>
        <v>2032</v>
      </c>
      <c r="D805" s="679">
        <f t="shared" si="78"/>
        <v>464231.8965517243</v>
      </c>
      <c r="E805" s="741">
        <f t="shared" si="79"/>
        <v>10923.103448275862</v>
      </c>
      <c r="F805" s="741">
        <f t="shared" si="72"/>
        <v>453308.7931034484</v>
      </c>
      <c r="G805" s="679">
        <f t="shared" si="73"/>
        <v>458770.3448275863</v>
      </c>
      <c r="H805" s="736">
        <f>+J784*G805+E805</f>
        <v>69925.00544859239</v>
      </c>
      <c r="I805" s="742">
        <f>+J785*G805+E805</f>
        <v>69925.00544859239</v>
      </c>
      <c r="J805" s="739">
        <f t="shared" si="74"/>
        <v>0</v>
      </c>
      <c r="K805" s="739"/>
      <c r="L805" s="743"/>
      <c r="M805" s="739">
        <f t="shared" si="75"/>
        <v>0</v>
      </c>
      <c r="N805" s="743"/>
      <c r="O805" s="739">
        <f t="shared" si="76"/>
        <v>0</v>
      </c>
      <c r="P805" s="739">
        <f t="shared" si="77"/>
        <v>0</v>
      </c>
      <c r="Q805" s="680"/>
    </row>
    <row r="806" spans="2:17" ht="12.75">
      <c r="B806" s="330"/>
      <c r="C806" s="735">
        <f>IF(D783="","-",+C805+1)</f>
        <v>2033</v>
      </c>
      <c r="D806" s="679">
        <f t="shared" si="78"/>
        <v>453308.7931034484</v>
      </c>
      <c r="E806" s="741">
        <f t="shared" si="79"/>
        <v>10923.103448275862</v>
      </c>
      <c r="F806" s="741">
        <f t="shared" si="72"/>
        <v>442385.6896551725</v>
      </c>
      <c r="G806" s="679">
        <f t="shared" si="73"/>
        <v>447847.2413793105</v>
      </c>
      <c r="H806" s="736">
        <f>+J784*G806+E806</f>
        <v>68520.19825810866</v>
      </c>
      <c r="I806" s="742">
        <f>+J785*G806+E806</f>
        <v>68520.19825810866</v>
      </c>
      <c r="J806" s="739">
        <f t="shared" si="74"/>
        <v>0</v>
      </c>
      <c r="K806" s="739"/>
      <c r="L806" s="743"/>
      <c r="M806" s="739">
        <f t="shared" si="75"/>
        <v>0</v>
      </c>
      <c r="N806" s="743"/>
      <c r="O806" s="739">
        <f t="shared" si="76"/>
        <v>0</v>
      </c>
      <c r="P806" s="739">
        <f t="shared" si="77"/>
        <v>0</v>
      </c>
      <c r="Q806" s="680"/>
    </row>
    <row r="807" spans="2:17" ht="12.75">
      <c r="B807" s="330"/>
      <c r="C807" s="735">
        <f>IF(D783="","-",+C806+1)</f>
        <v>2034</v>
      </c>
      <c r="D807" s="679">
        <f t="shared" si="78"/>
        <v>442385.6896551725</v>
      </c>
      <c r="E807" s="741">
        <f t="shared" si="79"/>
        <v>10923.103448275862</v>
      </c>
      <c r="F807" s="741">
        <f t="shared" si="72"/>
        <v>431462.58620689664</v>
      </c>
      <c r="G807" s="679">
        <f t="shared" si="73"/>
        <v>436924.13793103455</v>
      </c>
      <c r="H807" s="736">
        <f>+J784*G807+E807</f>
        <v>67115.39106762494</v>
      </c>
      <c r="I807" s="742">
        <f>+J785*G807+E807</f>
        <v>67115.39106762494</v>
      </c>
      <c r="J807" s="739">
        <f t="shared" si="74"/>
        <v>0</v>
      </c>
      <c r="K807" s="739"/>
      <c r="L807" s="743"/>
      <c r="M807" s="739">
        <f t="shared" si="75"/>
        <v>0</v>
      </c>
      <c r="N807" s="743"/>
      <c r="O807" s="739">
        <f t="shared" si="76"/>
        <v>0</v>
      </c>
      <c r="P807" s="739">
        <f t="shared" si="77"/>
        <v>0</v>
      </c>
      <c r="Q807" s="680"/>
    </row>
    <row r="808" spans="2:17" ht="12.75">
      <c r="B808" s="330"/>
      <c r="C808" s="735">
        <f>IF(D783="","-",+C807+1)</f>
        <v>2035</v>
      </c>
      <c r="D808" s="679">
        <f t="shared" si="78"/>
        <v>431462.58620689664</v>
      </c>
      <c r="E808" s="741">
        <f t="shared" si="79"/>
        <v>10923.103448275862</v>
      </c>
      <c r="F808" s="741">
        <f t="shared" si="72"/>
        <v>420539.48275862075</v>
      </c>
      <c r="G808" s="679">
        <f t="shared" si="73"/>
        <v>426001.0344827587</v>
      </c>
      <c r="H808" s="736">
        <f>+J784*G808+E808</f>
        <v>65710.58387714121</v>
      </c>
      <c r="I808" s="742">
        <f>+J785*G808+E808</f>
        <v>65710.58387714121</v>
      </c>
      <c r="J808" s="739">
        <f t="shared" si="74"/>
        <v>0</v>
      </c>
      <c r="K808" s="739"/>
      <c r="L808" s="743"/>
      <c r="M808" s="739">
        <f t="shared" si="75"/>
        <v>0</v>
      </c>
      <c r="N808" s="743"/>
      <c r="O808" s="739">
        <f t="shared" si="76"/>
        <v>0</v>
      </c>
      <c r="P808" s="739">
        <f t="shared" si="77"/>
        <v>0</v>
      </c>
      <c r="Q808" s="680"/>
    </row>
    <row r="809" spans="2:17" ht="12.75">
      <c r="B809" s="330"/>
      <c r="C809" s="735">
        <f>IF(D783="","-",+C808+1)</f>
        <v>2036</v>
      </c>
      <c r="D809" s="679">
        <f t="shared" si="78"/>
        <v>420539.48275862075</v>
      </c>
      <c r="E809" s="741">
        <f t="shared" si="79"/>
        <v>10923.103448275862</v>
      </c>
      <c r="F809" s="741">
        <f t="shared" si="72"/>
        <v>409616.37931034487</v>
      </c>
      <c r="G809" s="679">
        <f t="shared" si="73"/>
        <v>415077.9310344828</v>
      </c>
      <c r="H809" s="736">
        <f>+J784*G809+E809</f>
        <v>64305.776686657475</v>
      </c>
      <c r="I809" s="742">
        <f>+J785*G809+E809</f>
        <v>64305.776686657475</v>
      </c>
      <c r="J809" s="739">
        <f t="shared" si="74"/>
        <v>0</v>
      </c>
      <c r="K809" s="739"/>
      <c r="L809" s="743"/>
      <c r="M809" s="739">
        <f t="shared" si="75"/>
        <v>0</v>
      </c>
      <c r="N809" s="743"/>
      <c r="O809" s="739">
        <f t="shared" si="76"/>
        <v>0</v>
      </c>
      <c r="P809" s="739">
        <f t="shared" si="77"/>
        <v>0</v>
      </c>
      <c r="Q809" s="680"/>
    </row>
    <row r="810" spans="2:17" ht="12.75">
      <c r="B810" s="330"/>
      <c r="C810" s="735">
        <f>IF(D783="","-",+C809+1)</f>
        <v>2037</v>
      </c>
      <c r="D810" s="679">
        <f t="shared" si="78"/>
        <v>409616.37931034487</v>
      </c>
      <c r="E810" s="741">
        <f t="shared" si="79"/>
        <v>10923.103448275862</v>
      </c>
      <c r="F810" s="741">
        <f t="shared" si="72"/>
        <v>398693.275862069</v>
      </c>
      <c r="G810" s="679">
        <f t="shared" si="73"/>
        <v>404154.82758620696</v>
      </c>
      <c r="H810" s="736">
        <f>+J784*G810+E810</f>
        <v>62900.969496173755</v>
      </c>
      <c r="I810" s="742">
        <f>+J785*G810+E810</f>
        <v>62900.969496173755</v>
      </c>
      <c r="J810" s="739">
        <f t="shared" si="74"/>
        <v>0</v>
      </c>
      <c r="K810" s="739"/>
      <c r="L810" s="743"/>
      <c r="M810" s="739">
        <f t="shared" si="75"/>
        <v>0</v>
      </c>
      <c r="N810" s="743"/>
      <c r="O810" s="739">
        <f t="shared" si="76"/>
        <v>0</v>
      </c>
      <c r="P810" s="739">
        <f t="shared" si="77"/>
        <v>0</v>
      </c>
      <c r="Q810" s="680"/>
    </row>
    <row r="811" spans="2:17" ht="12.75">
      <c r="B811" s="330"/>
      <c r="C811" s="735">
        <f>IF(D783="","-",+C810+1)</f>
        <v>2038</v>
      </c>
      <c r="D811" s="679">
        <f t="shared" si="78"/>
        <v>398693.275862069</v>
      </c>
      <c r="E811" s="741">
        <f t="shared" si="79"/>
        <v>10923.103448275862</v>
      </c>
      <c r="F811" s="741">
        <f t="shared" si="72"/>
        <v>387770.1724137931</v>
      </c>
      <c r="G811" s="679">
        <f t="shared" si="73"/>
        <v>393231.724137931</v>
      </c>
      <c r="H811" s="736">
        <f>+J784*G811+E811</f>
        <v>61496.16230569001</v>
      </c>
      <c r="I811" s="742">
        <f>+J785*G811+E811</f>
        <v>61496.16230569001</v>
      </c>
      <c r="J811" s="739">
        <f t="shared" si="74"/>
        <v>0</v>
      </c>
      <c r="K811" s="739"/>
      <c r="L811" s="743"/>
      <c r="M811" s="739">
        <f t="shared" si="75"/>
        <v>0</v>
      </c>
      <c r="N811" s="743"/>
      <c r="O811" s="739">
        <f t="shared" si="76"/>
        <v>0</v>
      </c>
      <c r="P811" s="739">
        <f t="shared" si="77"/>
        <v>0</v>
      </c>
      <c r="Q811" s="680"/>
    </row>
    <row r="812" spans="2:17" ht="12.75">
      <c r="B812" s="330"/>
      <c r="C812" s="735">
        <f>IF(D783="","-",+C811+1)</f>
        <v>2039</v>
      </c>
      <c r="D812" s="679">
        <f t="shared" si="78"/>
        <v>387770.1724137931</v>
      </c>
      <c r="E812" s="741">
        <f t="shared" si="79"/>
        <v>10923.103448275862</v>
      </c>
      <c r="F812" s="741">
        <f t="shared" si="72"/>
        <v>376847.0689655172</v>
      </c>
      <c r="G812" s="679">
        <f t="shared" si="73"/>
        <v>382308.6206896552</v>
      </c>
      <c r="H812" s="736">
        <f>+J784*G812+E812</f>
        <v>60091.355115206294</v>
      </c>
      <c r="I812" s="742">
        <f>+J785*G812+E812</f>
        <v>60091.355115206294</v>
      </c>
      <c r="J812" s="739">
        <f t="shared" si="74"/>
        <v>0</v>
      </c>
      <c r="K812" s="739"/>
      <c r="L812" s="743"/>
      <c r="M812" s="739">
        <f t="shared" si="75"/>
        <v>0</v>
      </c>
      <c r="N812" s="743"/>
      <c r="O812" s="739">
        <f t="shared" si="76"/>
        <v>0</v>
      </c>
      <c r="P812" s="739">
        <f t="shared" si="77"/>
        <v>0</v>
      </c>
      <c r="Q812" s="680"/>
    </row>
    <row r="813" spans="2:17" ht="12.75">
      <c r="B813" s="330"/>
      <c r="C813" s="735">
        <f>IF(D783="","-",+C812+1)</f>
        <v>2040</v>
      </c>
      <c r="D813" s="679">
        <f t="shared" si="78"/>
        <v>376847.0689655172</v>
      </c>
      <c r="E813" s="741">
        <f t="shared" si="79"/>
        <v>10923.103448275862</v>
      </c>
      <c r="F813" s="741">
        <f t="shared" si="72"/>
        <v>365923.96551724133</v>
      </c>
      <c r="G813" s="679">
        <f t="shared" si="73"/>
        <v>371385.51724137925</v>
      </c>
      <c r="H813" s="736">
        <f>+J784*G813+E813</f>
        <v>58686.54792472256</v>
      </c>
      <c r="I813" s="742">
        <f>+J785*G813+E813</f>
        <v>58686.54792472256</v>
      </c>
      <c r="J813" s="739">
        <f t="shared" si="74"/>
        <v>0</v>
      </c>
      <c r="K813" s="739"/>
      <c r="L813" s="743"/>
      <c r="M813" s="739">
        <f t="shared" si="75"/>
        <v>0</v>
      </c>
      <c r="N813" s="743"/>
      <c r="O813" s="739">
        <f t="shared" si="76"/>
        <v>0</v>
      </c>
      <c r="P813" s="739">
        <f t="shared" si="77"/>
        <v>0</v>
      </c>
      <c r="Q813" s="680"/>
    </row>
    <row r="814" spans="2:17" ht="12.75">
      <c r="B814" s="330"/>
      <c r="C814" s="735">
        <f>IF(D783="","-",+C813+1)</f>
        <v>2041</v>
      </c>
      <c r="D814" s="679">
        <f t="shared" si="78"/>
        <v>365923.96551724133</v>
      </c>
      <c r="E814" s="741">
        <f t="shared" si="79"/>
        <v>10923.103448275862</v>
      </c>
      <c r="F814" s="741">
        <f t="shared" si="72"/>
        <v>355000.86206896545</v>
      </c>
      <c r="G814" s="679">
        <f t="shared" si="73"/>
        <v>360462.4137931034</v>
      </c>
      <c r="H814" s="736">
        <f>+J784*G814+E814</f>
        <v>57281.74073423883</v>
      </c>
      <c r="I814" s="742">
        <f>+J785*G814+E814</f>
        <v>57281.74073423883</v>
      </c>
      <c r="J814" s="739">
        <f t="shared" si="74"/>
        <v>0</v>
      </c>
      <c r="K814" s="739"/>
      <c r="L814" s="743"/>
      <c r="M814" s="739">
        <f t="shared" si="75"/>
        <v>0</v>
      </c>
      <c r="N814" s="743"/>
      <c r="O814" s="739">
        <f t="shared" si="76"/>
        <v>0</v>
      </c>
      <c r="P814" s="739">
        <f t="shared" si="77"/>
        <v>0</v>
      </c>
      <c r="Q814" s="680"/>
    </row>
    <row r="815" spans="2:17" ht="12.75">
      <c r="B815" s="330"/>
      <c r="C815" s="735">
        <f>IF(D783="","-",+C814+1)</f>
        <v>2042</v>
      </c>
      <c r="D815" s="679">
        <f t="shared" si="78"/>
        <v>355000.86206896545</v>
      </c>
      <c r="E815" s="741">
        <f t="shared" si="79"/>
        <v>10923.103448275862</v>
      </c>
      <c r="F815" s="741">
        <f t="shared" si="72"/>
        <v>344077.75862068956</v>
      </c>
      <c r="G815" s="679">
        <f t="shared" si="73"/>
        <v>349539.3103448275</v>
      </c>
      <c r="H815" s="736">
        <f>+J784*G815+E815</f>
        <v>55876.9335437551</v>
      </c>
      <c r="I815" s="742">
        <f>+J785*G815+E815</f>
        <v>55876.9335437551</v>
      </c>
      <c r="J815" s="739">
        <f t="shared" si="74"/>
        <v>0</v>
      </c>
      <c r="K815" s="739"/>
      <c r="L815" s="743"/>
      <c r="M815" s="739">
        <f t="shared" si="75"/>
        <v>0</v>
      </c>
      <c r="N815" s="743"/>
      <c r="O815" s="739">
        <f t="shared" si="76"/>
        <v>0</v>
      </c>
      <c r="P815" s="739">
        <f t="shared" si="77"/>
        <v>0</v>
      </c>
      <c r="Q815" s="680"/>
    </row>
    <row r="816" spans="2:17" ht="12.75">
      <c r="B816" s="330"/>
      <c r="C816" s="735">
        <f>IF(D783="","-",+C815+1)</f>
        <v>2043</v>
      </c>
      <c r="D816" s="679">
        <f t="shared" si="78"/>
        <v>344077.75862068956</v>
      </c>
      <c r="E816" s="741">
        <f t="shared" si="79"/>
        <v>10923.103448275862</v>
      </c>
      <c r="F816" s="741">
        <f t="shared" si="72"/>
        <v>333154.6551724137</v>
      </c>
      <c r="G816" s="679">
        <f t="shared" si="73"/>
        <v>338616.20689655165</v>
      </c>
      <c r="H816" s="736">
        <f>+J784*G816+E816</f>
        <v>54472.12635327138</v>
      </c>
      <c r="I816" s="742">
        <f>+J785*G816+E816</f>
        <v>54472.12635327138</v>
      </c>
      <c r="J816" s="739">
        <f t="shared" si="74"/>
        <v>0</v>
      </c>
      <c r="K816" s="739"/>
      <c r="L816" s="743"/>
      <c r="M816" s="739">
        <f t="shared" si="75"/>
        <v>0</v>
      </c>
      <c r="N816" s="743"/>
      <c r="O816" s="739">
        <f t="shared" si="76"/>
        <v>0</v>
      </c>
      <c r="P816" s="739">
        <f t="shared" si="77"/>
        <v>0</v>
      </c>
      <c r="Q816" s="680"/>
    </row>
    <row r="817" spans="2:17" ht="12.75">
      <c r="B817" s="330"/>
      <c r="C817" s="735">
        <f>IF(D783="","-",+C816+1)</f>
        <v>2044</v>
      </c>
      <c r="D817" s="679">
        <f t="shared" si="78"/>
        <v>333154.6551724137</v>
      </c>
      <c r="E817" s="741">
        <f t="shared" si="79"/>
        <v>10923.103448275862</v>
      </c>
      <c r="F817" s="741">
        <f t="shared" si="72"/>
        <v>322231.5517241378</v>
      </c>
      <c r="G817" s="679">
        <f t="shared" si="73"/>
        <v>327693.1034482757</v>
      </c>
      <c r="H817" s="736">
        <f>+J784*G817+E817</f>
        <v>53067.31916278764</v>
      </c>
      <c r="I817" s="742">
        <f>+J785*G817+E817</f>
        <v>53067.31916278764</v>
      </c>
      <c r="J817" s="739">
        <f t="shared" si="74"/>
        <v>0</v>
      </c>
      <c r="K817" s="739"/>
      <c r="L817" s="743"/>
      <c r="M817" s="739">
        <f t="shared" si="75"/>
        <v>0</v>
      </c>
      <c r="N817" s="743"/>
      <c r="O817" s="739">
        <f t="shared" si="76"/>
        <v>0</v>
      </c>
      <c r="P817" s="739">
        <f t="shared" si="77"/>
        <v>0</v>
      </c>
      <c r="Q817" s="680"/>
    </row>
    <row r="818" spans="2:17" ht="12.75">
      <c r="B818" s="330"/>
      <c r="C818" s="735">
        <f>IF(D783="","-",+C817+1)</f>
        <v>2045</v>
      </c>
      <c r="D818" s="679">
        <f t="shared" si="78"/>
        <v>322231.5517241378</v>
      </c>
      <c r="E818" s="741">
        <f t="shared" si="79"/>
        <v>10923.103448275862</v>
      </c>
      <c r="F818" s="741">
        <f t="shared" si="72"/>
        <v>311308.4482758619</v>
      </c>
      <c r="G818" s="679">
        <f t="shared" si="73"/>
        <v>316769.9999999999</v>
      </c>
      <c r="H818" s="736">
        <f>+J784*G818+E818</f>
        <v>51662.51197230392</v>
      </c>
      <c r="I818" s="742">
        <f>+J785*G818+E818</f>
        <v>51662.51197230392</v>
      </c>
      <c r="J818" s="739">
        <f t="shared" si="74"/>
        <v>0</v>
      </c>
      <c r="K818" s="739"/>
      <c r="L818" s="743"/>
      <c r="M818" s="739">
        <f t="shared" si="75"/>
        <v>0</v>
      </c>
      <c r="N818" s="743"/>
      <c r="O818" s="739">
        <f t="shared" si="76"/>
        <v>0</v>
      </c>
      <c r="P818" s="739">
        <f t="shared" si="77"/>
        <v>0</v>
      </c>
      <c r="Q818" s="680"/>
    </row>
    <row r="819" spans="2:17" ht="12.75">
      <c r="B819" s="330"/>
      <c r="C819" s="735">
        <f>IF(D783="","-",+C818+1)</f>
        <v>2046</v>
      </c>
      <c r="D819" s="679">
        <f t="shared" si="78"/>
        <v>311308.4482758619</v>
      </c>
      <c r="E819" s="741">
        <f t="shared" si="79"/>
        <v>10923.103448275862</v>
      </c>
      <c r="F819" s="741">
        <f t="shared" si="72"/>
        <v>300385.344827586</v>
      </c>
      <c r="G819" s="679">
        <f t="shared" si="73"/>
        <v>305846.89655172394</v>
      </c>
      <c r="H819" s="736">
        <f>+J784*G819+E819</f>
        <v>50257.70478182018</v>
      </c>
      <c r="I819" s="742">
        <f>+J785*G819+E819</f>
        <v>50257.70478182018</v>
      </c>
      <c r="J819" s="739">
        <f t="shared" si="74"/>
        <v>0</v>
      </c>
      <c r="K819" s="739"/>
      <c r="L819" s="743"/>
      <c r="M819" s="739">
        <f t="shared" si="75"/>
        <v>0</v>
      </c>
      <c r="N819" s="743"/>
      <c r="O819" s="739">
        <f t="shared" si="76"/>
        <v>0</v>
      </c>
      <c r="P819" s="739">
        <f t="shared" si="77"/>
        <v>0</v>
      </c>
      <c r="Q819" s="680"/>
    </row>
    <row r="820" spans="2:17" ht="12.75">
      <c r="B820" s="330"/>
      <c r="C820" s="735">
        <f>IF(D783="","-",+C819+1)</f>
        <v>2047</v>
      </c>
      <c r="D820" s="679">
        <f t="shared" si="78"/>
        <v>300385.344827586</v>
      </c>
      <c r="E820" s="741">
        <f t="shared" si="79"/>
        <v>10923.103448275862</v>
      </c>
      <c r="F820" s="741">
        <f t="shared" si="72"/>
        <v>289462.24137931014</v>
      </c>
      <c r="G820" s="679">
        <f t="shared" si="73"/>
        <v>294923.7931034481</v>
      </c>
      <c r="H820" s="736">
        <f>+J784*G820+E820</f>
        <v>48852.897591336456</v>
      </c>
      <c r="I820" s="742">
        <f>+J785*G820+E820</f>
        <v>48852.897591336456</v>
      </c>
      <c r="J820" s="739">
        <f t="shared" si="74"/>
        <v>0</v>
      </c>
      <c r="K820" s="739"/>
      <c r="L820" s="743"/>
      <c r="M820" s="739">
        <f t="shared" si="75"/>
        <v>0</v>
      </c>
      <c r="N820" s="743"/>
      <c r="O820" s="739">
        <f t="shared" si="76"/>
        <v>0</v>
      </c>
      <c r="P820" s="739">
        <f t="shared" si="77"/>
        <v>0</v>
      </c>
      <c r="Q820" s="680"/>
    </row>
    <row r="821" spans="2:17" ht="12.75">
      <c r="B821" s="330"/>
      <c r="C821" s="735">
        <f>IF(D783="","-",+C820+1)</f>
        <v>2048</v>
      </c>
      <c r="D821" s="679">
        <f t="shared" si="78"/>
        <v>289462.24137931014</v>
      </c>
      <c r="E821" s="741">
        <f t="shared" si="79"/>
        <v>10923.103448275862</v>
      </c>
      <c r="F821" s="741">
        <f t="shared" si="72"/>
        <v>278539.13793103426</v>
      </c>
      <c r="G821" s="679">
        <f t="shared" si="73"/>
        <v>284000.6896551722</v>
      </c>
      <c r="H821" s="736">
        <f>+J784*G821+E821</f>
        <v>47448.09040085272</v>
      </c>
      <c r="I821" s="742">
        <f>+J785*G821+E821</f>
        <v>47448.09040085272</v>
      </c>
      <c r="J821" s="739">
        <f t="shared" si="74"/>
        <v>0</v>
      </c>
      <c r="K821" s="739"/>
      <c r="L821" s="743"/>
      <c r="M821" s="739">
        <f t="shared" si="75"/>
        <v>0</v>
      </c>
      <c r="N821" s="743"/>
      <c r="O821" s="739">
        <f t="shared" si="76"/>
        <v>0</v>
      </c>
      <c r="P821" s="739">
        <f t="shared" si="77"/>
        <v>0</v>
      </c>
      <c r="Q821" s="680"/>
    </row>
    <row r="822" spans="2:17" ht="12.75">
      <c r="B822" s="330"/>
      <c r="C822" s="735">
        <f>IF(D783="","-",+C821+1)</f>
        <v>2049</v>
      </c>
      <c r="D822" s="679">
        <f t="shared" si="78"/>
        <v>278539.13793103426</v>
      </c>
      <c r="E822" s="741">
        <f t="shared" si="79"/>
        <v>10923.103448275862</v>
      </c>
      <c r="F822" s="741">
        <f t="shared" si="72"/>
        <v>267616.0344827584</v>
      </c>
      <c r="G822" s="679">
        <f t="shared" si="73"/>
        <v>273077.58620689635</v>
      </c>
      <c r="H822" s="736">
        <f>+J784*G822+E822</f>
        <v>46043.283210369</v>
      </c>
      <c r="I822" s="742">
        <f>+J785*G822+E822</f>
        <v>46043.283210369</v>
      </c>
      <c r="J822" s="739">
        <f t="shared" si="74"/>
        <v>0</v>
      </c>
      <c r="K822" s="739"/>
      <c r="L822" s="743"/>
      <c r="M822" s="739">
        <f t="shared" si="75"/>
        <v>0</v>
      </c>
      <c r="N822" s="743"/>
      <c r="O822" s="739">
        <f t="shared" si="76"/>
        <v>0</v>
      </c>
      <c r="P822" s="739">
        <f t="shared" si="77"/>
        <v>0</v>
      </c>
      <c r="Q822" s="680"/>
    </row>
    <row r="823" spans="2:17" ht="12.75">
      <c r="B823" s="330"/>
      <c r="C823" s="735">
        <f>IF(D783="","-",+C822+1)</f>
        <v>2050</v>
      </c>
      <c r="D823" s="679">
        <f t="shared" si="78"/>
        <v>267616.0344827584</v>
      </c>
      <c r="E823" s="741">
        <f t="shared" si="79"/>
        <v>10923.103448275862</v>
      </c>
      <c r="F823" s="741">
        <f t="shared" si="72"/>
        <v>256692.93103448252</v>
      </c>
      <c r="G823" s="679">
        <f t="shared" si="73"/>
        <v>262154.48275862046</v>
      </c>
      <c r="H823" s="736">
        <f>+J784*G823+E823</f>
        <v>44638.47601988527</v>
      </c>
      <c r="I823" s="742">
        <f>+J785*G823+E823</f>
        <v>44638.47601988527</v>
      </c>
      <c r="J823" s="739">
        <f t="shared" si="74"/>
        <v>0</v>
      </c>
      <c r="K823" s="739"/>
      <c r="L823" s="743"/>
      <c r="M823" s="739">
        <f t="shared" si="75"/>
        <v>0</v>
      </c>
      <c r="N823" s="743"/>
      <c r="O823" s="739">
        <f t="shared" si="76"/>
        <v>0</v>
      </c>
      <c r="P823" s="739">
        <f t="shared" si="77"/>
        <v>0</v>
      </c>
      <c r="Q823" s="680"/>
    </row>
    <row r="824" spans="2:17" ht="12.75">
      <c r="B824" s="330"/>
      <c r="C824" s="735">
        <f>IF(D783="","-",+C823+1)</f>
        <v>2051</v>
      </c>
      <c r="D824" s="679">
        <f t="shared" si="78"/>
        <v>256692.93103448252</v>
      </c>
      <c r="E824" s="741">
        <f t="shared" si="79"/>
        <v>10923.103448275862</v>
      </c>
      <c r="F824" s="741">
        <f t="shared" si="72"/>
        <v>245769.82758620667</v>
      </c>
      <c r="G824" s="679">
        <f t="shared" si="73"/>
        <v>251231.37931034458</v>
      </c>
      <c r="H824" s="736">
        <f>+J784*G824+E824</f>
        <v>43233.66882940154</v>
      </c>
      <c r="I824" s="742">
        <f>+J785*G824+E824</f>
        <v>43233.66882940154</v>
      </c>
      <c r="J824" s="739">
        <f t="shared" si="74"/>
        <v>0</v>
      </c>
      <c r="K824" s="739"/>
      <c r="L824" s="743"/>
      <c r="M824" s="739">
        <f t="shared" si="75"/>
        <v>0</v>
      </c>
      <c r="N824" s="743"/>
      <c r="O824" s="739">
        <f t="shared" si="76"/>
        <v>0</v>
      </c>
      <c r="P824" s="739">
        <f t="shared" si="77"/>
        <v>0</v>
      </c>
      <c r="Q824" s="680"/>
    </row>
    <row r="825" spans="2:17" ht="12.75">
      <c r="B825" s="330"/>
      <c r="C825" s="735">
        <f>IF(D783="","-",+C824+1)</f>
        <v>2052</v>
      </c>
      <c r="D825" s="679">
        <f t="shared" si="78"/>
        <v>245769.82758620667</v>
      </c>
      <c r="E825" s="741">
        <f t="shared" si="79"/>
        <v>10923.103448275862</v>
      </c>
      <c r="F825" s="741">
        <f t="shared" si="72"/>
        <v>234846.7241379308</v>
      </c>
      <c r="G825" s="679">
        <f t="shared" si="73"/>
        <v>240308.27586206875</v>
      </c>
      <c r="H825" s="736">
        <f>+J784*G825+E825</f>
        <v>41828.86163891782</v>
      </c>
      <c r="I825" s="742">
        <f>+J785*G825+E825</f>
        <v>41828.86163891782</v>
      </c>
      <c r="J825" s="739">
        <f t="shared" si="74"/>
        <v>0</v>
      </c>
      <c r="K825" s="739"/>
      <c r="L825" s="743"/>
      <c r="M825" s="739">
        <f t="shared" si="75"/>
        <v>0</v>
      </c>
      <c r="N825" s="743"/>
      <c r="O825" s="739">
        <f t="shared" si="76"/>
        <v>0</v>
      </c>
      <c r="P825" s="739">
        <f t="shared" si="77"/>
        <v>0</v>
      </c>
      <c r="Q825" s="680"/>
    </row>
    <row r="826" spans="2:17" ht="12.75">
      <c r="B826" s="330"/>
      <c r="C826" s="735">
        <f>IF(D783="","-",+C825+1)</f>
        <v>2053</v>
      </c>
      <c r="D826" s="679">
        <f t="shared" si="78"/>
        <v>234846.7241379308</v>
      </c>
      <c r="E826" s="741">
        <f t="shared" si="79"/>
        <v>10923.103448275862</v>
      </c>
      <c r="F826" s="741">
        <f t="shared" si="72"/>
        <v>223923.62068965496</v>
      </c>
      <c r="G826" s="679">
        <f t="shared" si="73"/>
        <v>229385.17241379287</v>
      </c>
      <c r="H826" s="736">
        <f>+J784*G826+E826</f>
        <v>40424.05444843409</v>
      </c>
      <c r="I826" s="742">
        <f>+J785*G826+E826</f>
        <v>40424.05444843409</v>
      </c>
      <c r="J826" s="739">
        <f t="shared" si="74"/>
        <v>0</v>
      </c>
      <c r="K826" s="739"/>
      <c r="L826" s="743"/>
      <c r="M826" s="739">
        <f t="shared" si="75"/>
        <v>0</v>
      </c>
      <c r="N826" s="743"/>
      <c r="O826" s="739">
        <f t="shared" si="76"/>
        <v>0</v>
      </c>
      <c r="P826" s="739">
        <f t="shared" si="77"/>
        <v>0</v>
      </c>
      <c r="Q826" s="680"/>
    </row>
    <row r="827" spans="2:17" ht="12.75">
      <c r="B827" s="330"/>
      <c r="C827" s="735">
        <f>IF(D783="","-",+C826+1)</f>
        <v>2054</v>
      </c>
      <c r="D827" s="679">
        <f t="shared" si="78"/>
        <v>223923.62068965496</v>
      </c>
      <c r="E827" s="741">
        <f t="shared" si="79"/>
        <v>10923.103448275862</v>
      </c>
      <c r="F827" s="741">
        <f t="shared" si="72"/>
        <v>213000.5172413791</v>
      </c>
      <c r="G827" s="679">
        <f t="shared" si="73"/>
        <v>218462.06896551704</v>
      </c>
      <c r="H827" s="736">
        <f>+J784*G827+E827</f>
        <v>39019.24725795037</v>
      </c>
      <c r="I827" s="742">
        <f>+J785*G827+E827</f>
        <v>39019.24725795037</v>
      </c>
      <c r="J827" s="739">
        <f t="shared" si="74"/>
        <v>0</v>
      </c>
      <c r="K827" s="739"/>
      <c r="L827" s="743"/>
      <c r="M827" s="739">
        <f t="shared" si="75"/>
        <v>0</v>
      </c>
      <c r="N827" s="743"/>
      <c r="O827" s="739">
        <f t="shared" si="76"/>
        <v>0</v>
      </c>
      <c r="P827" s="739">
        <f t="shared" si="77"/>
        <v>0</v>
      </c>
      <c r="Q827" s="680"/>
    </row>
    <row r="828" spans="2:17" ht="12.75">
      <c r="B828" s="330"/>
      <c r="C828" s="735">
        <f>IF(D783="","-",+C827+1)</f>
        <v>2055</v>
      </c>
      <c r="D828" s="679">
        <f t="shared" si="78"/>
        <v>213000.5172413791</v>
      </c>
      <c r="E828" s="741">
        <f t="shared" si="79"/>
        <v>10923.103448275862</v>
      </c>
      <c r="F828" s="741">
        <f t="shared" si="72"/>
        <v>202077.41379310325</v>
      </c>
      <c r="G828" s="679">
        <f t="shared" si="73"/>
        <v>207538.96551724116</v>
      </c>
      <c r="H828" s="736">
        <f>+J784*G828+E828</f>
        <v>37614.44006746664</v>
      </c>
      <c r="I828" s="742">
        <f>+J785*G828+E828</f>
        <v>37614.44006746664</v>
      </c>
      <c r="J828" s="739">
        <f t="shared" si="74"/>
        <v>0</v>
      </c>
      <c r="K828" s="739"/>
      <c r="L828" s="743"/>
      <c r="M828" s="739">
        <f t="shared" si="75"/>
        <v>0</v>
      </c>
      <c r="N828" s="743"/>
      <c r="O828" s="739">
        <f t="shared" si="76"/>
        <v>0</v>
      </c>
      <c r="P828" s="739">
        <f t="shared" si="77"/>
        <v>0</v>
      </c>
      <c r="Q828" s="680"/>
    </row>
    <row r="829" spans="2:17" ht="12.75">
      <c r="B829" s="330"/>
      <c r="C829" s="735">
        <f>IF(D783="","-",+C828+1)</f>
        <v>2056</v>
      </c>
      <c r="D829" s="679">
        <f t="shared" si="78"/>
        <v>202077.41379310325</v>
      </c>
      <c r="E829" s="741">
        <f t="shared" si="79"/>
        <v>10923.103448275862</v>
      </c>
      <c r="F829" s="741">
        <f t="shared" si="72"/>
        <v>191154.3103448274</v>
      </c>
      <c r="G829" s="679">
        <f t="shared" si="73"/>
        <v>196615.86206896533</v>
      </c>
      <c r="H829" s="736">
        <f>+J784*G829+E829</f>
        <v>36209.63287698291</v>
      </c>
      <c r="I829" s="742">
        <f>+J785*G829+E829</f>
        <v>36209.63287698291</v>
      </c>
      <c r="J829" s="739">
        <f t="shared" si="74"/>
        <v>0</v>
      </c>
      <c r="K829" s="739"/>
      <c r="L829" s="743"/>
      <c r="M829" s="739">
        <f t="shared" si="75"/>
        <v>0</v>
      </c>
      <c r="N829" s="743"/>
      <c r="O829" s="739">
        <f t="shared" si="76"/>
        <v>0</v>
      </c>
      <c r="P829" s="739">
        <f t="shared" si="77"/>
        <v>0</v>
      </c>
      <c r="Q829" s="680"/>
    </row>
    <row r="830" spans="2:17" ht="12.75">
      <c r="B830" s="330"/>
      <c r="C830" s="735">
        <f>IF(D783="","-",+C829+1)</f>
        <v>2057</v>
      </c>
      <c r="D830" s="679">
        <f t="shared" si="78"/>
        <v>191154.3103448274</v>
      </c>
      <c r="E830" s="741">
        <f t="shared" si="79"/>
        <v>10923.103448275862</v>
      </c>
      <c r="F830" s="741">
        <f t="shared" si="72"/>
        <v>180231.20689655154</v>
      </c>
      <c r="G830" s="679">
        <f t="shared" si="73"/>
        <v>185692.75862068945</v>
      </c>
      <c r="H830" s="736">
        <f>+J784*G830+E830</f>
        <v>34804.825686499185</v>
      </c>
      <c r="I830" s="742">
        <f>+J785*G830+E830</f>
        <v>34804.825686499185</v>
      </c>
      <c r="J830" s="739">
        <f t="shared" si="74"/>
        <v>0</v>
      </c>
      <c r="K830" s="739"/>
      <c r="L830" s="743"/>
      <c r="M830" s="739">
        <f t="shared" si="75"/>
        <v>0</v>
      </c>
      <c r="N830" s="743"/>
      <c r="O830" s="739">
        <f t="shared" si="76"/>
        <v>0</v>
      </c>
      <c r="P830" s="739">
        <f t="shared" si="77"/>
        <v>0</v>
      </c>
      <c r="Q830" s="680"/>
    </row>
    <row r="831" spans="2:17" ht="12.75">
      <c r="B831" s="330"/>
      <c r="C831" s="735">
        <f>IF(D783="","-",+C830+1)</f>
        <v>2058</v>
      </c>
      <c r="D831" s="679">
        <f t="shared" si="78"/>
        <v>180231.20689655154</v>
      </c>
      <c r="E831" s="741">
        <f t="shared" si="79"/>
        <v>10923.103448275862</v>
      </c>
      <c r="F831" s="741">
        <f t="shared" si="72"/>
        <v>169308.10344827568</v>
      </c>
      <c r="G831" s="679">
        <f t="shared" si="73"/>
        <v>174769.65517241362</v>
      </c>
      <c r="H831" s="736">
        <f>+J784*G831+E831</f>
        <v>33400.018496015466</v>
      </c>
      <c r="I831" s="742">
        <f>+J785*G831+E831</f>
        <v>33400.018496015466</v>
      </c>
      <c r="J831" s="739">
        <f t="shared" si="74"/>
        <v>0</v>
      </c>
      <c r="K831" s="739"/>
      <c r="L831" s="743"/>
      <c r="M831" s="739">
        <f t="shared" si="75"/>
        <v>0</v>
      </c>
      <c r="N831" s="743"/>
      <c r="O831" s="739">
        <f t="shared" si="76"/>
        <v>0</v>
      </c>
      <c r="P831" s="739">
        <f t="shared" si="77"/>
        <v>0</v>
      </c>
      <c r="Q831" s="680"/>
    </row>
    <row r="832" spans="2:17" ht="12.75">
      <c r="B832" s="330"/>
      <c r="C832" s="735">
        <f>IF(D783="","-",+C831+1)</f>
        <v>2059</v>
      </c>
      <c r="D832" s="679">
        <f t="shared" si="78"/>
        <v>169308.10344827568</v>
      </c>
      <c r="E832" s="741">
        <f t="shared" si="79"/>
        <v>10923.103448275862</v>
      </c>
      <c r="F832" s="741">
        <f t="shared" si="72"/>
        <v>158384.99999999983</v>
      </c>
      <c r="G832" s="679">
        <f t="shared" si="73"/>
        <v>163846.55172413774</v>
      </c>
      <c r="H832" s="736">
        <f>+J784*G832+E832</f>
        <v>31995.211305531735</v>
      </c>
      <c r="I832" s="742">
        <f>+J785*G832+E832</f>
        <v>31995.211305531735</v>
      </c>
      <c r="J832" s="739">
        <f t="shared" si="74"/>
        <v>0</v>
      </c>
      <c r="K832" s="739"/>
      <c r="L832" s="743"/>
      <c r="M832" s="739">
        <f t="shared" si="75"/>
        <v>0</v>
      </c>
      <c r="N832" s="743"/>
      <c r="O832" s="739">
        <f t="shared" si="76"/>
        <v>0</v>
      </c>
      <c r="P832" s="739">
        <f t="shared" si="77"/>
        <v>0</v>
      </c>
      <c r="Q832" s="680"/>
    </row>
    <row r="833" spans="2:17" ht="12.75">
      <c r="B833" s="330"/>
      <c r="C833" s="735">
        <f>IF(D783="","-",+C832+1)</f>
        <v>2060</v>
      </c>
      <c r="D833" s="679">
        <f t="shared" si="78"/>
        <v>158384.99999999983</v>
      </c>
      <c r="E833" s="741">
        <f t="shared" si="79"/>
        <v>10923.103448275862</v>
      </c>
      <c r="F833" s="741">
        <f t="shared" si="72"/>
        <v>147461.89655172397</v>
      </c>
      <c r="G833" s="679">
        <f t="shared" si="73"/>
        <v>152923.4482758619</v>
      </c>
      <c r="H833" s="736">
        <f>+J784*G833+E833</f>
        <v>30590.404115048015</v>
      </c>
      <c r="I833" s="742">
        <f>+J785*G833+E833</f>
        <v>30590.404115048015</v>
      </c>
      <c r="J833" s="739">
        <f t="shared" si="74"/>
        <v>0</v>
      </c>
      <c r="K833" s="739"/>
      <c r="L833" s="743"/>
      <c r="M833" s="739">
        <f t="shared" si="75"/>
        <v>0</v>
      </c>
      <c r="N833" s="743"/>
      <c r="O833" s="739">
        <f t="shared" si="76"/>
        <v>0</v>
      </c>
      <c r="P833" s="739">
        <f t="shared" si="77"/>
        <v>0</v>
      </c>
      <c r="Q833" s="680"/>
    </row>
    <row r="834" spans="2:17" ht="12.75">
      <c r="B834" s="330"/>
      <c r="C834" s="735">
        <f>IF(D783="","-",+C833+1)</f>
        <v>2061</v>
      </c>
      <c r="D834" s="679">
        <f t="shared" si="78"/>
        <v>147461.89655172397</v>
      </c>
      <c r="E834" s="741">
        <f t="shared" si="79"/>
        <v>10923.103448275862</v>
      </c>
      <c r="F834" s="741">
        <f t="shared" si="72"/>
        <v>136538.79310344812</v>
      </c>
      <c r="G834" s="679">
        <f t="shared" si="73"/>
        <v>142000.34482758603</v>
      </c>
      <c r="H834" s="736">
        <f>+J784*G834+E834</f>
        <v>29185.596924564285</v>
      </c>
      <c r="I834" s="742">
        <f>+J785*G834+E834</f>
        <v>29185.596924564285</v>
      </c>
      <c r="J834" s="739">
        <f t="shared" si="74"/>
        <v>0</v>
      </c>
      <c r="K834" s="739"/>
      <c r="L834" s="743"/>
      <c r="M834" s="739">
        <f t="shared" si="75"/>
        <v>0</v>
      </c>
      <c r="N834" s="743"/>
      <c r="O834" s="739">
        <f t="shared" si="76"/>
        <v>0</v>
      </c>
      <c r="P834" s="739">
        <f t="shared" si="77"/>
        <v>0</v>
      </c>
      <c r="Q834" s="680"/>
    </row>
    <row r="835" spans="2:17" ht="12.75">
      <c r="B835" s="330"/>
      <c r="C835" s="735">
        <f>IF(D783="","-",+C834+1)</f>
        <v>2062</v>
      </c>
      <c r="D835" s="679">
        <f t="shared" si="78"/>
        <v>136538.79310344812</v>
      </c>
      <c r="E835" s="741">
        <f t="shared" si="79"/>
        <v>10923.103448275862</v>
      </c>
      <c r="F835" s="741">
        <f t="shared" si="72"/>
        <v>125615.68965517226</v>
      </c>
      <c r="G835" s="679">
        <f t="shared" si="73"/>
        <v>131077.2413793102</v>
      </c>
      <c r="H835" s="736">
        <f>+J784*G835+E835</f>
        <v>27780.78973408056</v>
      </c>
      <c r="I835" s="742">
        <f>+J785*G835+E835</f>
        <v>27780.78973408056</v>
      </c>
      <c r="J835" s="739">
        <f t="shared" si="74"/>
        <v>0</v>
      </c>
      <c r="K835" s="739"/>
      <c r="L835" s="743"/>
      <c r="M835" s="739">
        <f t="shared" si="75"/>
        <v>0</v>
      </c>
      <c r="N835" s="743"/>
      <c r="O835" s="739">
        <f t="shared" si="76"/>
        <v>0</v>
      </c>
      <c r="P835" s="739">
        <f t="shared" si="77"/>
        <v>0</v>
      </c>
      <c r="Q835" s="680"/>
    </row>
    <row r="836" spans="2:17" ht="12.75">
      <c r="B836" s="330"/>
      <c r="C836" s="735">
        <f>IF(D783="","-",+C835+1)</f>
        <v>2063</v>
      </c>
      <c r="D836" s="679">
        <f t="shared" si="78"/>
        <v>125615.68965517226</v>
      </c>
      <c r="E836" s="741">
        <f t="shared" si="79"/>
        <v>10923.103448275862</v>
      </c>
      <c r="F836" s="741">
        <f t="shared" si="72"/>
        <v>114692.5862068964</v>
      </c>
      <c r="G836" s="679">
        <f t="shared" si="73"/>
        <v>120154.13793103433</v>
      </c>
      <c r="H836" s="736">
        <f>+J784*G836+E836</f>
        <v>26375.982543596834</v>
      </c>
      <c r="I836" s="742">
        <f>+J785*G836+E836</f>
        <v>26375.982543596834</v>
      </c>
      <c r="J836" s="739">
        <f t="shared" si="74"/>
        <v>0</v>
      </c>
      <c r="K836" s="739"/>
      <c r="L836" s="743"/>
      <c r="M836" s="739">
        <f t="shared" si="75"/>
        <v>0</v>
      </c>
      <c r="N836" s="743"/>
      <c r="O836" s="739">
        <f t="shared" si="76"/>
        <v>0</v>
      </c>
      <c r="P836" s="739">
        <f t="shared" si="77"/>
        <v>0</v>
      </c>
      <c r="Q836" s="680"/>
    </row>
    <row r="837" spans="2:17" ht="12.75">
      <c r="B837" s="330"/>
      <c r="C837" s="735">
        <f>IF(D783="","-",+C836+1)</f>
        <v>2064</v>
      </c>
      <c r="D837" s="679">
        <f t="shared" si="78"/>
        <v>114692.5862068964</v>
      </c>
      <c r="E837" s="741">
        <f t="shared" si="79"/>
        <v>10923.103448275862</v>
      </c>
      <c r="F837" s="741">
        <f t="shared" si="72"/>
        <v>103769.48275862055</v>
      </c>
      <c r="G837" s="679">
        <f t="shared" si="73"/>
        <v>109231.03448275848</v>
      </c>
      <c r="H837" s="736">
        <f>+J784*G837+E837</f>
        <v>24971.17535311311</v>
      </c>
      <c r="I837" s="742">
        <f>+J785*G837+E837</f>
        <v>24971.17535311311</v>
      </c>
      <c r="J837" s="739">
        <f t="shared" si="74"/>
        <v>0</v>
      </c>
      <c r="K837" s="739"/>
      <c r="L837" s="743"/>
      <c r="M837" s="739">
        <f t="shared" si="75"/>
        <v>0</v>
      </c>
      <c r="N837" s="743"/>
      <c r="O837" s="739">
        <f t="shared" si="76"/>
        <v>0</v>
      </c>
      <c r="P837" s="739">
        <f t="shared" si="77"/>
        <v>0</v>
      </c>
      <c r="Q837" s="680"/>
    </row>
    <row r="838" spans="2:17" ht="12.75">
      <c r="B838" s="330"/>
      <c r="C838" s="735">
        <f>IF(D783="","-",+C837+1)</f>
        <v>2065</v>
      </c>
      <c r="D838" s="679">
        <f t="shared" si="78"/>
        <v>103769.48275862055</v>
      </c>
      <c r="E838" s="741">
        <f t="shared" si="79"/>
        <v>10923.103448275862</v>
      </c>
      <c r="F838" s="741">
        <f t="shared" si="72"/>
        <v>92846.3793103447</v>
      </c>
      <c r="G838" s="679">
        <f t="shared" si="73"/>
        <v>98307.93103448262</v>
      </c>
      <c r="H838" s="736">
        <f>+J784*G838+E838</f>
        <v>23566.368162629384</v>
      </c>
      <c r="I838" s="742">
        <f>+J785*G838+E838</f>
        <v>23566.368162629384</v>
      </c>
      <c r="J838" s="739">
        <f t="shared" si="74"/>
        <v>0</v>
      </c>
      <c r="K838" s="739"/>
      <c r="L838" s="743"/>
      <c r="M838" s="739">
        <f t="shared" si="75"/>
        <v>0</v>
      </c>
      <c r="N838" s="743"/>
      <c r="O838" s="739">
        <f t="shared" si="76"/>
        <v>0</v>
      </c>
      <c r="P838" s="739">
        <f t="shared" si="77"/>
        <v>0</v>
      </c>
      <c r="Q838" s="680"/>
    </row>
    <row r="839" spans="2:17" ht="12.75">
      <c r="B839" s="330"/>
      <c r="C839" s="735">
        <f>IF(D783="","-",+C838+1)</f>
        <v>2066</v>
      </c>
      <c r="D839" s="679">
        <f t="shared" si="78"/>
        <v>92846.3793103447</v>
      </c>
      <c r="E839" s="741">
        <f t="shared" si="79"/>
        <v>10923.103448275862</v>
      </c>
      <c r="F839" s="741">
        <f t="shared" si="72"/>
        <v>81923.27586206884</v>
      </c>
      <c r="G839" s="679">
        <f t="shared" si="73"/>
        <v>87384.82758620677</v>
      </c>
      <c r="H839" s="736">
        <f>+J784*G839+E839</f>
        <v>22161.560972145657</v>
      </c>
      <c r="I839" s="742">
        <f>+J785*G839+E839</f>
        <v>22161.560972145657</v>
      </c>
      <c r="J839" s="739">
        <f t="shared" si="74"/>
        <v>0</v>
      </c>
      <c r="K839" s="739"/>
      <c r="L839" s="743"/>
      <c r="M839" s="739">
        <f t="shared" si="75"/>
        <v>0</v>
      </c>
      <c r="N839" s="743"/>
      <c r="O839" s="739">
        <f t="shared" si="76"/>
        <v>0</v>
      </c>
      <c r="P839" s="739">
        <f t="shared" si="77"/>
        <v>0</v>
      </c>
      <c r="Q839" s="680"/>
    </row>
    <row r="840" spans="2:17" ht="12.75">
      <c r="B840" s="330"/>
      <c r="C840" s="735">
        <f>IF(D783="","-",+C839+1)</f>
        <v>2067</v>
      </c>
      <c r="D840" s="679">
        <f t="shared" si="78"/>
        <v>81923.27586206884</v>
      </c>
      <c r="E840" s="741">
        <f t="shared" si="79"/>
        <v>10923.103448275862</v>
      </c>
      <c r="F840" s="741">
        <f t="shared" si="72"/>
        <v>71000.17241379299</v>
      </c>
      <c r="G840" s="679">
        <f t="shared" si="73"/>
        <v>76461.72413793091</v>
      </c>
      <c r="H840" s="736">
        <f>+J784*G840+E840</f>
        <v>20756.75378166193</v>
      </c>
      <c r="I840" s="742">
        <f>+J785*G840+E840</f>
        <v>20756.75378166193</v>
      </c>
      <c r="J840" s="739">
        <f t="shared" si="74"/>
        <v>0</v>
      </c>
      <c r="K840" s="739"/>
      <c r="L840" s="743"/>
      <c r="M840" s="739">
        <f t="shared" si="75"/>
        <v>0</v>
      </c>
      <c r="N840" s="743"/>
      <c r="O840" s="739">
        <f t="shared" si="76"/>
        <v>0</v>
      </c>
      <c r="P840" s="739">
        <f t="shared" si="77"/>
        <v>0</v>
      </c>
      <c r="Q840" s="680"/>
    </row>
    <row r="841" spans="2:17" ht="12.75">
      <c r="B841" s="330"/>
      <c r="C841" s="735">
        <f>IF(D783="","-",+C840+1)</f>
        <v>2068</v>
      </c>
      <c r="D841" s="679">
        <f t="shared" si="78"/>
        <v>71000.17241379299</v>
      </c>
      <c r="E841" s="741">
        <f t="shared" si="79"/>
        <v>10923.103448275862</v>
      </c>
      <c r="F841" s="741">
        <f t="shared" si="72"/>
        <v>60077.06896551712</v>
      </c>
      <c r="G841" s="679">
        <f t="shared" si="73"/>
        <v>65538.62068965506</v>
      </c>
      <c r="H841" s="736">
        <f>+J784*G841+E841</f>
        <v>19351.946591178206</v>
      </c>
      <c r="I841" s="742">
        <f>+J785*G841+E841</f>
        <v>19351.946591178206</v>
      </c>
      <c r="J841" s="739">
        <f t="shared" si="74"/>
        <v>0</v>
      </c>
      <c r="K841" s="739"/>
      <c r="L841" s="743"/>
      <c r="M841" s="739">
        <f t="shared" si="75"/>
        <v>0</v>
      </c>
      <c r="N841" s="743"/>
      <c r="O841" s="739">
        <f t="shared" si="76"/>
        <v>0</v>
      </c>
      <c r="P841" s="739">
        <f t="shared" si="77"/>
        <v>0</v>
      </c>
      <c r="Q841" s="680"/>
    </row>
    <row r="842" spans="2:17" ht="12.75">
      <c r="B842" s="330"/>
      <c r="C842" s="735">
        <f>IF(D783="","-",+C841+1)</f>
        <v>2069</v>
      </c>
      <c r="D842" s="679">
        <f t="shared" si="78"/>
        <v>60077.06896551712</v>
      </c>
      <c r="E842" s="741">
        <f t="shared" si="79"/>
        <v>10923.103448275862</v>
      </c>
      <c r="F842" s="741">
        <f t="shared" si="72"/>
        <v>49153.96551724126</v>
      </c>
      <c r="G842" s="679">
        <f t="shared" si="73"/>
        <v>54615.51724137919</v>
      </c>
      <c r="H842" s="736">
        <f>+J784*G842+E842</f>
        <v>17947.13940069448</v>
      </c>
      <c r="I842" s="742">
        <f>+J785*G842+E842</f>
        <v>17947.13940069448</v>
      </c>
      <c r="J842" s="739">
        <f t="shared" si="74"/>
        <v>0</v>
      </c>
      <c r="K842" s="739"/>
      <c r="L842" s="743"/>
      <c r="M842" s="739">
        <f t="shared" si="75"/>
        <v>0</v>
      </c>
      <c r="N842" s="743"/>
      <c r="O842" s="739">
        <f t="shared" si="76"/>
        <v>0</v>
      </c>
      <c r="P842" s="739">
        <f t="shared" si="77"/>
        <v>0</v>
      </c>
      <c r="Q842" s="680"/>
    </row>
    <row r="843" spans="2:17" ht="12.75">
      <c r="B843" s="330"/>
      <c r="C843" s="735">
        <f>IF(D783="","-",+C842+1)</f>
        <v>2070</v>
      </c>
      <c r="D843" s="679">
        <f t="shared" si="78"/>
        <v>49153.96551724126</v>
      </c>
      <c r="E843" s="741">
        <f t="shared" si="79"/>
        <v>10923.103448275862</v>
      </c>
      <c r="F843" s="741">
        <f t="shared" si="72"/>
        <v>38230.8620689654</v>
      </c>
      <c r="G843" s="679">
        <f t="shared" si="73"/>
        <v>43692.41379310333</v>
      </c>
      <c r="H843" s="736">
        <f>+J784*G843+E843</f>
        <v>16542.332210210756</v>
      </c>
      <c r="I843" s="742">
        <f>+J785*G843+E843</f>
        <v>16542.332210210756</v>
      </c>
      <c r="J843" s="739">
        <f t="shared" si="74"/>
        <v>0</v>
      </c>
      <c r="K843" s="739"/>
      <c r="L843" s="743"/>
      <c r="M843" s="739">
        <f t="shared" si="75"/>
        <v>0</v>
      </c>
      <c r="N843" s="743"/>
      <c r="O843" s="739">
        <f t="shared" si="76"/>
        <v>0</v>
      </c>
      <c r="P843" s="739">
        <f t="shared" si="77"/>
        <v>0</v>
      </c>
      <c r="Q843" s="680"/>
    </row>
    <row r="844" spans="2:17" ht="12.75">
      <c r="B844" s="330"/>
      <c r="C844" s="735">
        <f>IF(D783="","-",+C843+1)</f>
        <v>2071</v>
      </c>
      <c r="D844" s="679">
        <f t="shared" si="78"/>
        <v>38230.8620689654</v>
      </c>
      <c r="E844" s="741">
        <f t="shared" si="79"/>
        <v>10923.103448275862</v>
      </c>
      <c r="F844" s="741">
        <f t="shared" si="72"/>
        <v>27307.758620689536</v>
      </c>
      <c r="G844" s="679">
        <f t="shared" si="73"/>
        <v>32769.31034482746</v>
      </c>
      <c r="H844" s="736">
        <f>+J784*G844+E844</f>
        <v>15137.525019727025</v>
      </c>
      <c r="I844" s="742">
        <f>+J785*G844+E844</f>
        <v>15137.525019727025</v>
      </c>
      <c r="J844" s="739">
        <f t="shared" si="74"/>
        <v>0</v>
      </c>
      <c r="K844" s="739"/>
      <c r="L844" s="743"/>
      <c r="M844" s="739">
        <f t="shared" si="75"/>
        <v>0</v>
      </c>
      <c r="N844" s="743"/>
      <c r="O844" s="739">
        <f t="shared" si="76"/>
        <v>0</v>
      </c>
      <c r="P844" s="739">
        <f t="shared" si="77"/>
        <v>0</v>
      </c>
      <c r="Q844" s="680"/>
    </row>
    <row r="845" spans="2:17" ht="12.75">
      <c r="B845" s="330"/>
      <c r="C845" s="735">
        <f>IF(D783="","-",+C844+1)</f>
        <v>2072</v>
      </c>
      <c r="D845" s="679">
        <f t="shared" si="78"/>
        <v>27307.758620689536</v>
      </c>
      <c r="E845" s="741">
        <f t="shared" si="79"/>
        <v>10923.103448275862</v>
      </c>
      <c r="F845" s="741">
        <f t="shared" si="72"/>
        <v>16384.655172413673</v>
      </c>
      <c r="G845" s="679">
        <f t="shared" si="73"/>
        <v>21846.206896551605</v>
      </c>
      <c r="H845" s="736">
        <f>+J784*G845+E845</f>
        <v>13732.7178292433</v>
      </c>
      <c r="I845" s="742">
        <f>+J785*G845+E845</f>
        <v>13732.7178292433</v>
      </c>
      <c r="J845" s="739">
        <f t="shared" si="74"/>
        <v>0</v>
      </c>
      <c r="K845" s="739"/>
      <c r="L845" s="743"/>
      <c r="M845" s="739">
        <f t="shared" si="75"/>
        <v>0</v>
      </c>
      <c r="N845" s="743"/>
      <c r="O845" s="739">
        <f t="shared" si="76"/>
        <v>0</v>
      </c>
      <c r="P845" s="739">
        <f t="shared" si="77"/>
        <v>0</v>
      </c>
      <c r="Q845" s="680"/>
    </row>
    <row r="846" spans="2:17" ht="12.75">
      <c r="B846" s="330"/>
      <c r="C846" s="735">
        <f>IF(D783="","-",+C845+1)</f>
        <v>2073</v>
      </c>
      <c r="D846" s="679">
        <f t="shared" si="78"/>
        <v>16384.655172413673</v>
      </c>
      <c r="E846" s="741">
        <f t="shared" si="79"/>
        <v>10923.103448275862</v>
      </c>
      <c r="F846" s="741">
        <f t="shared" si="72"/>
        <v>5461.551724137811</v>
      </c>
      <c r="G846" s="679">
        <f t="shared" si="73"/>
        <v>10923.103448275742</v>
      </c>
      <c r="H846" s="736">
        <f>+J784*G846+E846</f>
        <v>12327.910638759573</v>
      </c>
      <c r="I846" s="742">
        <f>+J785*G846+E846</f>
        <v>12327.910638759573</v>
      </c>
      <c r="J846" s="739">
        <f t="shared" si="74"/>
        <v>0</v>
      </c>
      <c r="K846" s="739"/>
      <c r="L846" s="743"/>
      <c r="M846" s="739">
        <f t="shared" si="75"/>
        <v>0</v>
      </c>
      <c r="N846" s="743"/>
      <c r="O846" s="739">
        <f t="shared" si="76"/>
        <v>0</v>
      </c>
      <c r="P846" s="739">
        <f t="shared" si="77"/>
        <v>0</v>
      </c>
      <c r="Q846" s="680"/>
    </row>
    <row r="847" spans="2:17" ht="12.75">
      <c r="B847" s="330"/>
      <c r="C847" s="735">
        <f>IF(D783="","-",+C846+1)</f>
        <v>2074</v>
      </c>
      <c r="D847" s="679">
        <f t="shared" si="78"/>
        <v>5461.551724137811</v>
      </c>
      <c r="E847" s="741">
        <f t="shared" si="79"/>
        <v>5461.551724137811</v>
      </c>
      <c r="F847" s="741">
        <f t="shared" si="72"/>
        <v>0</v>
      </c>
      <c r="G847" s="679">
        <f t="shared" si="73"/>
        <v>2730.7758620689056</v>
      </c>
      <c r="H847" s="736">
        <f>+J784*G847+E847</f>
        <v>5812.753521758735</v>
      </c>
      <c r="I847" s="742">
        <f>+J785*G847+E847</f>
        <v>5812.753521758735</v>
      </c>
      <c r="J847" s="739">
        <f t="shared" si="74"/>
        <v>0</v>
      </c>
      <c r="K847" s="739"/>
      <c r="L847" s="743"/>
      <c r="M847" s="739">
        <f t="shared" si="75"/>
        <v>0</v>
      </c>
      <c r="N847" s="743"/>
      <c r="O847" s="739">
        <f t="shared" si="76"/>
        <v>0</v>
      </c>
      <c r="P847" s="739">
        <f t="shared" si="77"/>
        <v>0</v>
      </c>
      <c r="Q847" s="680"/>
    </row>
    <row r="848" spans="2:17" ht="13.5" thickBot="1">
      <c r="B848" s="330"/>
      <c r="C848" s="746">
        <f>IF(D783="","-",+C847+1)</f>
        <v>2075</v>
      </c>
      <c r="D848" s="747">
        <f t="shared" si="78"/>
        <v>0</v>
      </c>
      <c r="E848" s="741">
        <f t="shared" si="79"/>
        <v>0</v>
      </c>
      <c r="F848" s="748">
        <f t="shared" si="72"/>
        <v>0</v>
      </c>
      <c r="G848" s="747">
        <f t="shared" si="73"/>
        <v>0</v>
      </c>
      <c r="H848" s="749">
        <f>+J784*G848+E848</f>
        <v>0</v>
      </c>
      <c r="I848" s="749">
        <f>+J785*G848+E848</f>
        <v>0</v>
      </c>
      <c r="J848" s="750">
        <f t="shared" si="74"/>
        <v>0</v>
      </c>
      <c r="K848" s="739"/>
      <c r="L848" s="751"/>
      <c r="M848" s="750">
        <f t="shared" si="75"/>
        <v>0</v>
      </c>
      <c r="N848" s="751"/>
      <c r="O848" s="750">
        <f t="shared" si="76"/>
        <v>0</v>
      </c>
      <c r="P848" s="750">
        <f t="shared" si="77"/>
        <v>0</v>
      </c>
      <c r="Q848" s="680"/>
    </row>
    <row r="849" spans="2:17" ht="12.75">
      <c r="B849" s="330"/>
      <c r="C849" s="679" t="s">
        <v>290</v>
      </c>
      <c r="D849" s="675"/>
      <c r="E849" s="675">
        <f>SUM(E789:E848)</f>
        <v>633540</v>
      </c>
      <c r="F849" s="675"/>
      <c r="G849" s="675"/>
      <c r="H849" s="675">
        <f>SUM(H789:H848)</f>
        <v>3037165.1029176563</v>
      </c>
      <c r="I849" s="675">
        <f>SUM(I789:I848)</f>
        <v>3037165.1029176563</v>
      </c>
      <c r="J849" s="675">
        <f>SUM(J789:J848)</f>
        <v>0</v>
      </c>
      <c r="K849" s="675"/>
      <c r="L849" s="675"/>
      <c r="M849" s="675"/>
      <c r="N849" s="675"/>
      <c r="O849" s="675"/>
      <c r="Q849" s="675"/>
    </row>
    <row r="850" spans="2:17" ht="12.75">
      <c r="B850" s="330"/>
      <c r="D850" s="569"/>
      <c r="E850" s="546"/>
      <c r="F850" s="546"/>
      <c r="G850" s="546"/>
      <c r="H850" s="546"/>
      <c r="I850" s="652"/>
      <c r="J850" s="652"/>
      <c r="K850" s="675"/>
      <c r="L850" s="652"/>
      <c r="M850" s="652"/>
      <c r="N850" s="652"/>
      <c r="O850" s="652"/>
      <c r="Q850" s="675"/>
    </row>
    <row r="851" spans="2:17" ht="12.75">
      <c r="B851" s="330"/>
      <c r="C851" s="546" t="s">
        <v>605</v>
      </c>
      <c r="D851" s="569"/>
      <c r="E851" s="546"/>
      <c r="F851" s="546"/>
      <c r="G851" s="546"/>
      <c r="H851" s="546"/>
      <c r="I851" s="652"/>
      <c r="J851" s="652"/>
      <c r="K851" s="675"/>
      <c r="L851" s="652"/>
      <c r="M851" s="652"/>
      <c r="N851" s="652"/>
      <c r="O851" s="652"/>
      <c r="Q851" s="675"/>
    </row>
    <row r="852" spans="2:17" ht="12.75">
      <c r="B852" s="330"/>
      <c r="D852" s="569"/>
      <c r="E852" s="546"/>
      <c r="F852" s="546"/>
      <c r="G852" s="546"/>
      <c r="H852" s="546"/>
      <c r="I852" s="652"/>
      <c r="J852" s="652"/>
      <c r="K852" s="675"/>
      <c r="L852" s="652"/>
      <c r="M852" s="652"/>
      <c r="N852" s="652"/>
      <c r="O852" s="652"/>
      <c r="Q852" s="675"/>
    </row>
    <row r="853" spans="2:17" ht="12.75">
      <c r="B853" s="330"/>
      <c r="C853" s="582" t="s">
        <v>606</v>
      </c>
      <c r="D853" s="679"/>
      <c r="E853" s="679"/>
      <c r="F853" s="679"/>
      <c r="G853" s="679"/>
      <c r="H853" s="675"/>
      <c r="I853" s="675"/>
      <c r="J853" s="680"/>
      <c r="K853" s="680"/>
      <c r="L853" s="680"/>
      <c r="M853" s="680"/>
      <c r="N853" s="680"/>
      <c r="O853" s="680"/>
      <c r="Q853" s="680"/>
    </row>
    <row r="854" spans="2:17" ht="12.75">
      <c r="B854" s="330"/>
      <c r="C854" s="582" t="s">
        <v>478</v>
      </c>
      <c r="D854" s="679"/>
      <c r="E854" s="679"/>
      <c r="F854" s="679"/>
      <c r="G854" s="679"/>
      <c r="H854" s="675"/>
      <c r="I854" s="675"/>
      <c r="J854" s="680"/>
      <c r="K854" s="680"/>
      <c r="L854" s="680"/>
      <c r="M854" s="680"/>
      <c r="N854" s="680"/>
      <c r="O854" s="680"/>
      <c r="Q854" s="680"/>
    </row>
    <row r="855" spans="2:17" ht="12.75">
      <c r="B855" s="330"/>
      <c r="C855" s="582" t="s">
        <v>291</v>
      </c>
      <c r="D855" s="679"/>
      <c r="E855" s="679"/>
      <c r="F855" s="679"/>
      <c r="G855" s="679"/>
      <c r="H855" s="675"/>
      <c r="I855" s="675"/>
      <c r="J855" s="680"/>
      <c r="K855" s="680"/>
      <c r="L855" s="680"/>
      <c r="M855" s="680"/>
      <c r="N855" s="680"/>
      <c r="O855" s="680"/>
      <c r="Q855" s="680"/>
    </row>
  </sheetData>
  <sheetProtection/>
  <mergeCells count="26">
    <mergeCell ref="D176:I177"/>
    <mergeCell ref="D262:I263"/>
    <mergeCell ref="C58:D59"/>
    <mergeCell ref="C69:D70"/>
    <mergeCell ref="L93:O93"/>
    <mergeCell ref="A1:P1"/>
    <mergeCell ref="C9:I10"/>
    <mergeCell ref="A2:P2"/>
    <mergeCell ref="A3:P3"/>
    <mergeCell ref="A4:P4"/>
    <mergeCell ref="L524:O524"/>
    <mergeCell ref="L610:O610"/>
    <mergeCell ref="L696:O696"/>
    <mergeCell ref="L782:O782"/>
    <mergeCell ref="C49:D50"/>
    <mergeCell ref="D89:I90"/>
    <mergeCell ref="L180:O180"/>
    <mergeCell ref="L266:O266"/>
    <mergeCell ref="L352:O352"/>
    <mergeCell ref="L438:O438"/>
    <mergeCell ref="D348:I349"/>
    <mergeCell ref="D434:I435"/>
    <mergeCell ref="D520:I521"/>
    <mergeCell ref="D606:I607"/>
    <mergeCell ref="D692:I693"/>
    <mergeCell ref="D778:I779"/>
  </mergeCells>
  <conditionalFormatting sqref="C100:C159">
    <cfRule type="cellIs" priority="23" dxfId="1" operator="equal" stopIfTrue="1">
      <formula>$J$90</formula>
    </cfRule>
  </conditionalFormatting>
  <conditionalFormatting sqref="C187:C246">
    <cfRule type="cellIs" priority="12" dxfId="1" operator="equal" stopIfTrue="1">
      <formula>$J$90</formula>
    </cfRule>
  </conditionalFormatting>
  <conditionalFormatting sqref="C273:C332">
    <cfRule type="cellIs" priority="11" dxfId="1" operator="equal" stopIfTrue="1">
      <formula>$J$90</formula>
    </cfRule>
  </conditionalFormatting>
  <conditionalFormatting sqref="C359:C418">
    <cfRule type="cellIs" priority="10" dxfId="1" operator="equal" stopIfTrue="1">
      <formula>$J$90</formula>
    </cfRule>
  </conditionalFormatting>
  <conditionalFormatting sqref="C445:C504">
    <cfRule type="cellIs" priority="9" dxfId="1" operator="equal" stopIfTrue="1">
      <formula>$J$90</formula>
    </cfRule>
  </conditionalFormatting>
  <conditionalFormatting sqref="C531:C590">
    <cfRule type="cellIs" priority="8" dxfId="1" operator="equal" stopIfTrue="1">
      <formula>$J$90</formula>
    </cfRule>
  </conditionalFormatting>
  <conditionalFormatting sqref="C617:C676">
    <cfRule type="cellIs" priority="7" dxfId="1" operator="equal" stopIfTrue="1">
      <formula>$J$90</formula>
    </cfRule>
  </conditionalFormatting>
  <conditionalFormatting sqref="C703:C762">
    <cfRule type="cellIs" priority="6" dxfId="1" operator="equal" stopIfTrue="1">
      <formula>$J$90</formula>
    </cfRule>
  </conditionalFormatting>
  <conditionalFormatting sqref="C789:C848">
    <cfRule type="cellIs" priority="5" dxfId="1" operator="equal" stopIfTrue="1">
      <formula>$J$90</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8" manualBreakCount="8">
    <brk id="79" max="15" man="1"/>
    <brk id="253" max="255" man="1"/>
    <brk id="339" max="255" man="1"/>
    <brk id="425" max="255" man="1"/>
    <brk id="511" max="255" man="1"/>
    <brk id="597" max="255" man="1"/>
    <brk id="683" max="255" man="1"/>
    <brk id="76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45"/>
  <sheetViews>
    <sheetView zoomScaleSheetLayoutView="100" zoomScalePageLayoutView="0" workbookViewId="0" topLeftCell="A1">
      <selection activeCell="L52" sqref="L52"/>
    </sheetView>
  </sheetViews>
  <sheetFormatPr defaultColWidth="9.140625" defaultRowHeight="12.75"/>
  <cols>
    <col min="1" max="1" width="9.140625" style="32" customWidth="1"/>
    <col min="2" max="2" width="37.57421875" style="184" customWidth="1"/>
    <col min="3" max="3" width="31.57421875" style="181" customWidth="1"/>
    <col min="4" max="4" width="14.8515625" style="181" customWidth="1"/>
    <col min="5" max="5" width="18.00390625" style="181" customWidth="1"/>
    <col min="6" max="7" width="11.140625" style="181" bestFit="1" customWidth="1"/>
    <col min="8" max="8" width="11.140625" style="262" bestFit="1" customWidth="1"/>
    <col min="9" max="16384" width="9.140625" style="181" customWidth="1"/>
  </cols>
  <sheetData>
    <row r="1" spans="2:16" ht="15">
      <c r="B1" s="1480" t="s">
        <v>389</v>
      </c>
      <c r="C1" s="1480"/>
      <c r="D1" s="1480"/>
      <c r="E1" s="1480"/>
      <c r="F1" s="1480"/>
      <c r="G1" s="40"/>
      <c r="H1" s="258"/>
      <c r="I1" s="40"/>
      <c r="J1" s="40"/>
      <c r="K1" s="40"/>
      <c r="L1" s="40"/>
      <c r="M1" s="40"/>
      <c r="N1" s="40"/>
      <c r="O1" s="40"/>
      <c r="P1" s="40"/>
    </row>
    <row r="2" spans="2:16" ht="15">
      <c r="B2" s="1481" t="str">
        <f>"Cost of Service Formula Rate Using "&amp;'I&amp;M TCOS'!L2&amp;" FF1 Balances"</f>
        <v>Cost of Service Formula Rate Using 2017 FF1 Balances</v>
      </c>
      <c r="C2" s="1481"/>
      <c r="D2" s="1481"/>
      <c r="E2" s="1481"/>
      <c r="F2" s="1481"/>
      <c r="G2" s="89"/>
      <c r="H2" s="259"/>
      <c r="I2" s="89"/>
      <c r="J2" s="89"/>
      <c r="K2" s="89"/>
      <c r="L2" s="89"/>
      <c r="M2" s="89"/>
      <c r="N2" s="89"/>
      <c r="O2" s="89"/>
      <c r="P2" s="89"/>
    </row>
    <row r="3" spans="2:11" ht="18">
      <c r="B3" s="1480" t="s">
        <v>551</v>
      </c>
      <c r="C3" s="1480"/>
      <c r="D3" s="1480"/>
      <c r="E3" s="1480"/>
      <c r="F3" s="1480"/>
      <c r="G3" s="150"/>
      <c r="H3" s="260"/>
      <c r="I3" s="150"/>
      <c r="J3" s="150"/>
      <c r="K3" s="150"/>
    </row>
    <row r="4" spans="2:11" ht="18">
      <c r="B4" s="1492" t="str">
        <f>+'I&amp;M TCOS'!F7</f>
        <v>INDIANA MICHIGAN POWER COMPANY</v>
      </c>
      <c r="C4" s="1480"/>
      <c r="D4" s="1480"/>
      <c r="E4" s="1480"/>
      <c r="F4" s="1480"/>
      <c r="G4" s="161"/>
      <c r="H4" s="261"/>
      <c r="I4" s="161"/>
      <c r="J4" s="161"/>
      <c r="K4" s="161"/>
    </row>
    <row r="6" spans="2:4" ht="18.75" customHeight="1">
      <c r="B6" s="19"/>
      <c r="C6" s="139"/>
      <c r="D6" s="183"/>
    </row>
    <row r="8" spans="2:30" ht="18">
      <c r="B8" s="8"/>
      <c r="C8" s="8"/>
      <c r="D8" s="8"/>
      <c r="E8" s="8"/>
      <c r="F8" s="8"/>
      <c r="R8" s="149"/>
      <c r="S8" s="149"/>
      <c r="T8" s="149"/>
      <c r="U8" s="149"/>
      <c r="V8" s="149"/>
      <c r="W8" s="149"/>
      <c r="X8" s="149"/>
      <c r="Y8" s="149"/>
      <c r="Z8" s="149"/>
      <c r="AA8" s="149"/>
      <c r="AB8" s="195"/>
      <c r="AC8" s="195"/>
      <c r="AD8" s="195"/>
    </row>
    <row r="9" spans="1:3" ht="12.75">
      <c r="A9" s="862"/>
      <c r="B9" s="182"/>
      <c r="C9" s="183"/>
    </row>
    <row r="10" spans="1:7" ht="12.75">
      <c r="A10" s="238"/>
      <c r="B10" s="12"/>
      <c r="C10" s="12"/>
      <c r="D10" s="12"/>
      <c r="E10" s="12"/>
      <c r="F10" s="12"/>
      <c r="G10" s="11"/>
    </row>
    <row r="11" spans="1:7" ht="12.75">
      <c r="A11" s="240"/>
      <c r="B11" s="12"/>
      <c r="C11" s="12"/>
      <c r="D11" s="12"/>
      <c r="E11" s="12"/>
      <c r="F11" s="12"/>
      <c r="G11" s="11"/>
    </row>
    <row r="12" spans="1:8" ht="12.75">
      <c r="A12" s="278"/>
      <c r="B12" s="12"/>
      <c r="C12" s="12"/>
      <c r="D12" s="12"/>
      <c r="E12" s="12"/>
      <c r="F12" s="12"/>
      <c r="H12" s="181"/>
    </row>
    <row r="13" spans="1:8" ht="12.75">
      <c r="A13" s="278"/>
      <c r="B13" s="12"/>
      <c r="C13" s="12"/>
      <c r="D13" s="12"/>
      <c r="E13" s="12"/>
      <c r="F13" s="12"/>
      <c r="H13" s="181"/>
    </row>
    <row r="14" spans="1:8" ht="12.75">
      <c r="A14" s="278"/>
      <c r="B14" s="12"/>
      <c r="C14" s="12"/>
      <c r="D14" s="12"/>
      <c r="E14" s="12"/>
      <c r="F14" s="12"/>
      <c r="H14" s="181"/>
    </row>
    <row r="15" spans="1:8" ht="12.75" customHeight="1">
      <c r="A15" s="278"/>
      <c r="B15" s="12"/>
      <c r="C15" s="12"/>
      <c r="D15" s="12"/>
      <c r="E15" s="12"/>
      <c r="F15" s="12"/>
      <c r="H15" s="181"/>
    </row>
    <row r="16" spans="1:8" ht="12.75">
      <c r="A16" s="278"/>
      <c r="B16" s="12"/>
      <c r="C16" s="12"/>
      <c r="D16" s="12"/>
      <c r="E16" s="12"/>
      <c r="F16" s="12"/>
      <c r="H16" s="181"/>
    </row>
    <row r="17" spans="1:8" ht="12.75">
      <c r="A17" s="278"/>
      <c r="B17" s="12"/>
      <c r="C17" s="12"/>
      <c r="D17" s="12"/>
      <c r="E17" s="12"/>
      <c r="F17" s="12"/>
      <c r="H17" s="181"/>
    </row>
    <row r="18" spans="1:8" ht="12.75">
      <c r="A18" s="278"/>
      <c r="B18" s="12"/>
      <c r="C18" s="12"/>
      <c r="D18" s="12"/>
      <c r="E18" s="12"/>
      <c r="F18" s="12"/>
      <c r="H18" s="181"/>
    </row>
    <row r="19" spans="1:8" ht="12.75">
      <c r="A19" s="278"/>
      <c r="B19" s="12"/>
      <c r="C19" s="12"/>
      <c r="D19" s="12"/>
      <c r="E19" s="12"/>
      <c r="F19" s="12"/>
      <c r="H19" s="181"/>
    </row>
    <row r="20" spans="1:8" ht="12.75">
      <c r="A20" s="278"/>
      <c r="B20" s="12"/>
      <c r="C20" s="12"/>
      <c r="D20" s="12"/>
      <c r="E20" s="12"/>
      <c r="F20" s="12"/>
      <c r="H20" s="181"/>
    </row>
    <row r="21" spans="1:8" ht="12.75" customHeight="1">
      <c r="A21" s="278"/>
      <c r="B21" s="12"/>
      <c r="C21" s="12"/>
      <c r="D21" s="12"/>
      <c r="E21" s="12"/>
      <c r="F21" s="12"/>
      <c r="H21" s="181"/>
    </row>
    <row r="22" spans="1:8" ht="12.75" customHeight="1">
      <c r="A22" s="278"/>
      <c r="B22" s="12"/>
      <c r="C22" s="12"/>
      <c r="D22" s="12"/>
      <c r="E22" s="12"/>
      <c r="F22" s="12"/>
      <c r="H22" s="181"/>
    </row>
    <row r="23" spans="1:8" ht="12.75" customHeight="1">
      <c r="A23" s="278"/>
      <c r="B23" s="12"/>
      <c r="C23" s="12"/>
      <c r="D23" s="12"/>
      <c r="E23" s="12"/>
      <c r="F23" s="12"/>
      <c r="H23" s="181"/>
    </row>
    <row r="24" spans="1:8" ht="12.75" customHeight="1">
      <c r="A24" s="278"/>
      <c r="B24" s="12"/>
      <c r="C24" s="12"/>
      <c r="D24" s="12"/>
      <c r="E24" s="12"/>
      <c r="F24" s="12"/>
      <c r="H24" s="181"/>
    </row>
    <row r="25" spans="1:8" ht="12.75" customHeight="1">
      <c r="A25" s="278"/>
      <c r="B25" s="12"/>
      <c r="C25" s="12"/>
      <c r="D25" s="12"/>
      <c r="E25" s="12"/>
      <c r="F25" s="12"/>
      <c r="H25" s="181"/>
    </row>
    <row r="26" spans="1:8" ht="12.75" customHeight="1">
      <c r="A26" s="278"/>
      <c r="B26" s="12"/>
      <c r="C26" s="12"/>
      <c r="D26" s="12"/>
      <c r="E26" s="12"/>
      <c r="F26" s="12"/>
      <c r="H26" s="181"/>
    </row>
    <row r="27" spans="1:8" ht="12.75" customHeight="1">
      <c r="A27" s="278"/>
      <c r="B27" s="12"/>
      <c r="C27" s="12"/>
      <c r="D27" s="12"/>
      <c r="E27" s="12"/>
      <c r="F27" s="12"/>
      <c r="H27" s="181"/>
    </row>
    <row r="28" spans="1:8" ht="12.75" customHeight="1">
      <c r="A28" s="278"/>
      <c r="B28" s="12"/>
      <c r="C28" s="12"/>
      <c r="D28" s="12"/>
      <c r="E28" s="12"/>
      <c r="F28" s="12"/>
      <c r="H28" s="181"/>
    </row>
    <row r="29" spans="1:8" ht="12.75" customHeight="1">
      <c r="A29" s="278"/>
      <c r="B29" s="12"/>
      <c r="C29" s="12"/>
      <c r="D29" s="12"/>
      <c r="E29" s="12"/>
      <c r="F29" s="12"/>
      <c r="H29" s="181"/>
    </row>
    <row r="30" spans="1:8" ht="12.75" customHeight="1">
      <c r="A30" s="278"/>
      <c r="B30" s="12"/>
      <c r="C30" s="12"/>
      <c r="D30" s="12"/>
      <c r="E30" s="12"/>
      <c r="F30" s="12"/>
      <c r="H30" s="181"/>
    </row>
    <row r="31" spans="1:8" ht="12.75" customHeight="1">
      <c r="A31" s="278"/>
      <c r="B31" s="12"/>
      <c r="C31" s="12"/>
      <c r="D31" s="12"/>
      <c r="E31" s="12"/>
      <c r="F31" s="12"/>
      <c r="H31" s="181"/>
    </row>
    <row r="32" spans="1:8" ht="12.75" customHeight="1">
      <c r="A32" s="278"/>
      <c r="B32" s="12"/>
      <c r="C32" s="12"/>
      <c r="D32" s="12"/>
      <c r="E32" s="12"/>
      <c r="F32" s="12"/>
      <c r="H32" s="181"/>
    </row>
    <row r="33" spans="1:8" ht="12.75" customHeight="1">
      <c r="A33" s="278"/>
      <c r="B33" s="12"/>
      <c r="C33" s="12"/>
      <c r="D33" s="12"/>
      <c r="E33" s="12"/>
      <c r="F33" s="12"/>
      <c r="H33" s="181"/>
    </row>
    <row r="34" spans="1:8" ht="12.75" customHeight="1">
      <c r="A34" s="278"/>
      <c r="B34" s="12"/>
      <c r="C34" s="12"/>
      <c r="D34" s="12"/>
      <c r="E34" s="12"/>
      <c r="F34" s="12"/>
      <c r="H34" s="181"/>
    </row>
    <row r="35" spans="1:8" ht="12.75" customHeight="1">
      <c r="A35" s="278"/>
      <c r="B35" s="12"/>
      <c r="C35" s="12"/>
      <c r="D35" s="12"/>
      <c r="E35" s="12"/>
      <c r="F35" s="12"/>
      <c r="H35" s="181"/>
    </row>
    <row r="36" spans="1:8" ht="12.75" customHeight="1">
      <c r="A36" s="278"/>
      <c r="B36" s="12"/>
      <c r="C36" s="12"/>
      <c r="D36" s="12"/>
      <c r="E36" s="12"/>
      <c r="F36" s="12"/>
      <c r="H36" s="181"/>
    </row>
    <row r="37" spans="1:8" ht="12.75" customHeight="1">
      <c r="A37" s="278"/>
      <c r="B37" s="12"/>
      <c r="C37" s="12"/>
      <c r="D37" s="12"/>
      <c r="E37" s="12"/>
      <c r="F37" s="12"/>
      <c r="H37" s="181"/>
    </row>
    <row r="38" spans="1:8" ht="12.75" customHeight="1">
      <c r="A38" s="278"/>
      <c r="B38" s="12"/>
      <c r="C38" s="12"/>
      <c r="D38" s="12"/>
      <c r="E38" s="12"/>
      <c r="F38" s="12"/>
      <c r="H38" s="181"/>
    </row>
    <row r="39" spans="1:8" ht="12.75" customHeight="1">
      <c r="A39" s="278"/>
      <c r="B39" s="12"/>
      <c r="C39" s="12"/>
      <c r="D39" s="12"/>
      <c r="E39" s="12"/>
      <c r="F39" s="12"/>
      <c r="H39" s="181"/>
    </row>
    <row r="40" spans="1:8" ht="12.75" customHeight="1">
      <c r="A40" s="278"/>
      <c r="B40" s="12"/>
      <c r="C40" s="12"/>
      <c r="D40" s="12"/>
      <c r="E40" s="12"/>
      <c r="F40" s="12"/>
      <c r="H40" s="181"/>
    </row>
    <row r="41" spans="1:8" ht="12" customHeight="1">
      <c r="A41" s="278"/>
      <c r="B41" s="12"/>
      <c r="C41" s="12"/>
      <c r="D41" s="12"/>
      <c r="E41" s="12"/>
      <c r="F41" s="12"/>
      <c r="H41" s="181"/>
    </row>
    <row r="42" spans="1:8" ht="12.75" customHeight="1">
      <c r="A42" s="278"/>
      <c r="B42" s="12"/>
      <c r="C42" s="12"/>
      <c r="D42" s="12"/>
      <c r="E42" s="12"/>
      <c r="F42" s="12"/>
      <c r="H42" s="181"/>
    </row>
    <row r="43" spans="2:8" ht="12.75">
      <c r="B43" s="12"/>
      <c r="C43" s="12"/>
      <c r="D43" s="12"/>
      <c r="E43" s="12"/>
      <c r="F43" s="12"/>
      <c r="H43" s="181"/>
    </row>
    <row r="44" spans="2:8" ht="12.75">
      <c r="B44" s="12"/>
      <c r="C44" s="12"/>
      <c r="D44" s="12"/>
      <c r="E44" s="12"/>
      <c r="F44" s="12"/>
      <c r="H44" s="181"/>
    </row>
    <row r="45" spans="2:8" ht="12.75">
      <c r="B45" s="12"/>
      <c r="C45" s="12"/>
      <c r="D45" s="12"/>
      <c r="E45" s="12"/>
      <c r="F45" s="12"/>
      <c r="H45" s="181"/>
    </row>
  </sheetData>
  <sheetProtection/>
  <mergeCells count="4">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70">
      <selection activeCell="E56" sqref="E56"/>
    </sheetView>
  </sheetViews>
  <sheetFormatPr defaultColWidth="11.421875" defaultRowHeight="12.75"/>
  <cols>
    <col min="1" max="1" width="10.28125" style="980" customWidth="1"/>
    <col min="2" max="2" width="52.28125" style="960" customWidth="1"/>
    <col min="3" max="7" width="20.28125" style="960" customWidth="1"/>
    <col min="8" max="8" width="23.00390625" style="960" customWidth="1"/>
    <col min="9" max="11" width="20.28125" style="960" customWidth="1"/>
    <col min="12" max="12" width="20.00390625" style="960" customWidth="1"/>
    <col min="13" max="14" width="15.140625" style="960" customWidth="1"/>
    <col min="15" max="16384" width="11.421875" style="960" customWidth="1"/>
  </cols>
  <sheetData>
    <row r="1" spans="1:8" ht="15">
      <c r="A1" s="1480" t="s">
        <v>389</v>
      </c>
      <c r="B1" s="1480"/>
      <c r="C1" s="1480"/>
      <c r="D1" s="1480"/>
      <c r="E1" s="1480"/>
      <c r="F1" s="1480"/>
      <c r="G1" s="1480"/>
      <c r="H1" s="896"/>
    </row>
    <row r="2" spans="1:12" ht="15">
      <c r="A2" s="1481" t="str">
        <f>"Cost of Service Formula Rate Using Actual/Projected FF1 Balances"</f>
        <v>Cost of Service Formula Rate Using Actual/Projected FF1 Balances</v>
      </c>
      <c r="B2" s="1481"/>
      <c r="C2" s="1481"/>
      <c r="D2" s="1481"/>
      <c r="E2" s="1481"/>
      <c r="F2" s="1481"/>
      <c r="G2" s="1481"/>
      <c r="H2" s="961"/>
      <c r="I2" s="961"/>
      <c r="J2" s="961"/>
      <c r="L2" s="962"/>
    </row>
    <row r="3" spans="1:10" ht="15">
      <c r="A3" s="1481" t="s">
        <v>666</v>
      </c>
      <c r="B3" s="1481"/>
      <c r="C3" s="1481"/>
      <c r="D3" s="1481"/>
      <c r="E3" s="1481"/>
      <c r="F3" s="1481"/>
      <c r="G3" s="1481"/>
      <c r="H3" s="961"/>
      <c r="I3" s="961"/>
      <c r="J3" s="961"/>
    </row>
    <row r="4" spans="1:10" ht="15">
      <c r="A4" s="1488" t="str">
        <f>'I&amp;M TCOS'!F7</f>
        <v>INDIANA MICHIGAN POWER COMPANY</v>
      </c>
      <c r="B4" s="1488"/>
      <c r="C4" s="1488"/>
      <c r="D4" s="1488"/>
      <c r="E4" s="1488"/>
      <c r="F4" s="1488"/>
      <c r="G4" s="1488"/>
      <c r="H4" s="961"/>
      <c r="I4" s="961"/>
      <c r="J4" s="961"/>
    </row>
    <row r="5" spans="1:12" ht="12.75">
      <c r="A5" s="961"/>
      <c r="B5" s="963"/>
      <c r="C5" s="963"/>
      <c r="D5" s="963"/>
      <c r="E5" s="964"/>
      <c r="F5" s="965"/>
      <c r="H5"/>
      <c r="I5"/>
      <c r="J5"/>
      <c r="K5"/>
      <c r="L5"/>
    </row>
    <row r="6" spans="1:12" ht="12.75" customHeight="1">
      <c r="A6" s="896"/>
      <c r="B6" s="942"/>
      <c r="C6" s="1482" t="s">
        <v>6</v>
      </c>
      <c r="D6" s="1483"/>
      <c r="E6" s="1483"/>
      <c r="F6" s="1483"/>
      <c r="G6" s="1484"/>
      <c r="H6" s="6"/>
      <c r="I6"/>
      <c r="J6"/>
      <c r="K6"/>
      <c r="L6"/>
    </row>
    <row r="7" spans="1:12" s="967" customFormat="1" ht="38.25">
      <c r="A7" s="941" t="s">
        <v>640</v>
      </c>
      <c r="B7" s="940" t="s">
        <v>639</v>
      </c>
      <c r="C7" s="919" t="s">
        <v>667</v>
      </c>
      <c r="D7" s="918" t="s">
        <v>370</v>
      </c>
      <c r="E7" s="918" t="s">
        <v>668</v>
      </c>
      <c r="F7" s="918" t="s">
        <v>669</v>
      </c>
      <c r="G7" s="966" t="s">
        <v>6</v>
      </c>
      <c r="H7" s="6"/>
      <c r="I7"/>
      <c r="J7"/>
      <c r="K7"/>
      <c r="L7"/>
    </row>
    <row r="8" spans="1:12" s="969" customFormat="1" ht="12.75">
      <c r="A8" s="907"/>
      <c r="B8" s="915" t="s">
        <v>634</v>
      </c>
      <c r="C8" s="916" t="s">
        <v>633</v>
      </c>
      <c r="D8" s="914" t="s">
        <v>632</v>
      </c>
      <c r="E8" s="914" t="s">
        <v>631</v>
      </c>
      <c r="F8" s="914" t="s">
        <v>630</v>
      </c>
      <c r="G8" s="968" t="s">
        <v>670</v>
      </c>
      <c r="H8" s="6"/>
      <c r="I8"/>
      <c r="J8"/>
      <c r="K8"/>
      <c r="L8"/>
    </row>
    <row r="9" spans="1:12" s="969" customFormat="1" ht="44.25" customHeight="1">
      <c r="A9" s="907"/>
      <c r="B9" s="915" t="s">
        <v>629</v>
      </c>
      <c r="C9" s="970" t="s">
        <v>671</v>
      </c>
      <c r="D9" s="937" t="s">
        <v>672</v>
      </c>
      <c r="E9" s="937" t="s">
        <v>673</v>
      </c>
      <c r="F9" s="937" t="s">
        <v>674</v>
      </c>
      <c r="G9" s="971"/>
      <c r="H9" s="6"/>
      <c r="I9"/>
      <c r="J9"/>
      <c r="K9"/>
      <c r="L9"/>
    </row>
    <row r="10" spans="1:12" ht="12.75">
      <c r="A10" s="907">
        <v>1</v>
      </c>
      <c r="B10" s="934" t="s">
        <v>627</v>
      </c>
      <c r="C10" s="972">
        <v>2151747058</v>
      </c>
      <c r="D10" s="972">
        <v>0</v>
      </c>
      <c r="E10" s="972">
        <v>-6674314</v>
      </c>
      <c r="F10" s="972">
        <v>-16256513</v>
      </c>
      <c r="G10" s="973">
        <f aca="true" t="shared" si="0" ref="G10:G22">+C10-D10-E10-F10</f>
        <v>2174677885</v>
      </c>
      <c r="H10" s="6"/>
      <c r="I10"/>
      <c r="J10"/>
      <c r="K10"/>
      <c r="L10"/>
    </row>
    <row r="11" spans="1:12" ht="12.75">
      <c r="A11" s="907">
        <f aca="true" t="shared" si="1" ref="A11:A23">+A10+1</f>
        <v>2</v>
      </c>
      <c r="B11" s="934" t="s">
        <v>187</v>
      </c>
      <c r="C11" s="1151"/>
      <c r="D11" s="1151"/>
      <c r="E11" s="1151"/>
      <c r="F11" s="1151"/>
      <c r="G11" s="1153">
        <f t="shared" si="0"/>
        <v>0</v>
      </c>
      <c r="H11" s="6"/>
      <c r="I11"/>
      <c r="J11"/>
      <c r="K11"/>
      <c r="L11"/>
    </row>
    <row r="12" spans="1:12" ht="12.75">
      <c r="A12" s="907">
        <f t="shared" si="1"/>
        <v>3</v>
      </c>
      <c r="B12" s="933" t="s">
        <v>563</v>
      </c>
      <c r="C12" s="1151"/>
      <c r="D12" s="1151"/>
      <c r="E12" s="1151"/>
      <c r="F12" s="1151"/>
      <c r="G12" s="1153">
        <f t="shared" si="0"/>
        <v>0</v>
      </c>
      <c r="H12" s="6"/>
      <c r="I12"/>
      <c r="J12"/>
      <c r="K12"/>
      <c r="L12"/>
    </row>
    <row r="13" spans="1:12" ht="12.75">
      <c r="A13" s="907">
        <f t="shared" si="1"/>
        <v>4</v>
      </c>
      <c r="B13" s="933" t="s">
        <v>626</v>
      </c>
      <c r="C13" s="1151"/>
      <c r="D13" s="1151"/>
      <c r="E13" s="1151"/>
      <c r="F13" s="1151"/>
      <c r="G13" s="1153">
        <f t="shared" si="0"/>
        <v>0</v>
      </c>
      <c r="H13" s="6"/>
      <c r="I13"/>
      <c r="J13"/>
      <c r="K13"/>
      <c r="L13"/>
    </row>
    <row r="14" spans="1:12" ht="12.75">
      <c r="A14" s="907">
        <f t="shared" si="1"/>
        <v>5</v>
      </c>
      <c r="B14" s="933" t="s">
        <v>189</v>
      </c>
      <c r="C14" s="1151"/>
      <c r="D14" s="1151"/>
      <c r="E14" s="1151"/>
      <c r="F14" s="1151"/>
      <c r="G14" s="1153">
        <f t="shared" si="0"/>
        <v>0</v>
      </c>
      <c r="H14" s="6"/>
      <c r="I14"/>
      <c r="J14"/>
      <c r="K14"/>
      <c r="L14"/>
    </row>
    <row r="15" spans="1:12" ht="12.75">
      <c r="A15" s="907">
        <f t="shared" si="1"/>
        <v>6</v>
      </c>
      <c r="B15" s="933" t="s">
        <v>190</v>
      </c>
      <c r="C15" s="1151"/>
      <c r="D15" s="1151"/>
      <c r="E15" s="1151"/>
      <c r="F15" s="1151"/>
      <c r="G15" s="1153">
        <f t="shared" si="0"/>
        <v>0</v>
      </c>
      <c r="H15" s="6"/>
      <c r="I15"/>
      <c r="J15"/>
      <c r="K15"/>
      <c r="L15"/>
    </row>
    <row r="16" spans="1:12" ht="12.75">
      <c r="A16" s="907">
        <f t="shared" si="1"/>
        <v>7</v>
      </c>
      <c r="B16" s="933" t="s">
        <v>384</v>
      </c>
      <c r="C16" s="1151"/>
      <c r="D16" s="1151"/>
      <c r="E16" s="1151"/>
      <c r="F16" s="1151"/>
      <c r="G16" s="1153">
        <f t="shared" si="0"/>
        <v>0</v>
      </c>
      <c r="H16" s="6"/>
      <c r="I16"/>
      <c r="J16"/>
      <c r="K16"/>
      <c r="L16"/>
    </row>
    <row r="17" spans="1:12" ht="12.75">
      <c r="A17" s="907">
        <f t="shared" si="1"/>
        <v>8</v>
      </c>
      <c r="B17" s="933" t="s">
        <v>191</v>
      </c>
      <c r="C17" s="1151"/>
      <c r="D17" s="1151"/>
      <c r="E17" s="1151"/>
      <c r="F17" s="1151"/>
      <c r="G17" s="1153">
        <f t="shared" si="0"/>
        <v>0</v>
      </c>
      <c r="H17" s="6"/>
      <c r="I17"/>
      <c r="J17"/>
      <c r="K17"/>
      <c r="L17"/>
    </row>
    <row r="18" spans="1:12" ht="12.75">
      <c r="A18" s="907">
        <f t="shared" si="1"/>
        <v>9</v>
      </c>
      <c r="B18" s="933" t="s">
        <v>625</v>
      </c>
      <c r="C18" s="1151"/>
      <c r="D18" s="1151"/>
      <c r="E18" s="1151"/>
      <c r="F18" s="1151"/>
      <c r="G18" s="1153">
        <f t="shared" si="0"/>
        <v>0</v>
      </c>
      <c r="H18" s="6"/>
      <c r="I18"/>
      <c r="J18"/>
      <c r="K18"/>
      <c r="L18"/>
    </row>
    <row r="19" spans="1:12" ht="12.75">
      <c r="A19" s="907">
        <f t="shared" si="1"/>
        <v>10</v>
      </c>
      <c r="B19" s="933" t="s">
        <v>194</v>
      </c>
      <c r="C19" s="1151"/>
      <c r="D19" s="1151"/>
      <c r="E19" s="1151"/>
      <c r="F19" s="1151"/>
      <c r="G19" s="1153">
        <f t="shared" si="0"/>
        <v>0</v>
      </c>
      <c r="H19" s="6"/>
      <c r="I19"/>
      <c r="J19"/>
      <c r="K19"/>
      <c r="L19"/>
    </row>
    <row r="20" spans="1:12" ht="12.75">
      <c r="A20" s="907">
        <f t="shared" si="1"/>
        <v>11</v>
      </c>
      <c r="B20" s="933" t="s">
        <v>564</v>
      </c>
      <c r="C20" s="1151"/>
      <c r="D20" s="1151"/>
      <c r="E20" s="1151"/>
      <c r="F20" s="1151"/>
      <c r="G20" s="1153">
        <f t="shared" si="0"/>
        <v>0</v>
      </c>
      <c r="H20" s="6"/>
      <c r="I20"/>
      <c r="J20"/>
      <c r="K20"/>
      <c r="L20"/>
    </row>
    <row r="21" spans="1:12" ht="12.75">
      <c r="A21" s="907">
        <f t="shared" si="1"/>
        <v>12</v>
      </c>
      <c r="B21" s="933" t="s">
        <v>565</v>
      </c>
      <c r="C21" s="1151"/>
      <c r="D21" s="1151"/>
      <c r="E21" s="1151"/>
      <c r="F21" s="1151"/>
      <c r="G21" s="1153">
        <f t="shared" si="0"/>
        <v>0</v>
      </c>
      <c r="H21" s="6"/>
      <c r="I21"/>
      <c r="J21"/>
      <c r="K21"/>
      <c r="L21"/>
    </row>
    <row r="22" spans="1:12" ht="12.75">
      <c r="A22" s="905">
        <f t="shared" si="1"/>
        <v>13</v>
      </c>
      <c r="B22" s="932" t="s">
        <v>624</v>
      </c>
      <c r="C22" s="972">
        <v>2217622969</v>
      </c>
      <c r="D22" s="972">
        <v>0</v>
      </c>
      <c r="E22" s="972">
        <v>-6289416</v>
      </c>
      <c r="F22" s="972">
        <v>-12123365</v>
      </c>
      <c r="G22" s="973">
        <f t="shared" si="0"/>
        <v>2236035750</v>
      </c>
      <c r="H22" s="6"/>
      <c r="I22"/>
      <c r="J22"/>
      <c r="K22"/>
      <c r="L22"/>
    </row>
    <row r="23" spans="1:12" ht="13.5" thickBot="1">
      <c r="A23" s="905">
        <f t="shared" si="1"/>
        <v>14</v>
      </c>
      <c r="B23" s="944" t="s">
        <v>772</v>
      </c>
      <c r="C23" s="899">
        <f>(C10+C22)/2</f>
        <v>2184685013.5</v>
      </c>
      <c r="D23" s="898">
        <f>(D10+D22)/2</f>
        <v>0</v>
      </c>
      <c r="E23" s="898">
        <f>(E10+E22)/2</f>
        <v>-6481865</v>
      </c>
      <c r="F23" s="898">
        <f>(F10+F22)/2</f>
        <v>-14189939</v>
      </c>
      <c r="G23" s="974">
        <f>(G10+G22)/2</f>
        <v>2205356817.5</v>
      </c>
      <c r="H23" s="6"/>
      <c r="I23"/>
      <c r="J23"/>
      <c r="K23"/>
      <c r="L23"/>
    </row>
    <row r="24" spans="1:12" ht="13.5" thickTop="1">
      <c r="A24" s="896"/>
      <c r="B24" s="895"/>
      <c r="C24" s="926"/>
      <c r="D24" s="893"/>
      <c r="E24" s="893"/>
      <c r="F24" s="893"/>
      <c r="G24" s="926"/>
      <c r="H24" s="926"/>
      <c r="I24"/>
      <c r="J24"/>
      <c r="K24"/>
      <c r="L24"/>
    </row>
    <row r="25" spans="1:12" ht="12.75" customHeight="1">
      <c r="A25" s="896"/>
      <c r="B25" s="942"/>
      <c r="C25" s="1535" t="s">
        <v>675</v>
      </c>
      <c r="D25" s="1536"/>
      <c r="E25" s="1536"/>
      <c r="F25" s="1536"/>
      <c r="G25" s="1536"/>
      <c r="H25" s="1537"/>
      <c r="I25"/>
      <c r="J25"/>
      <c r="K25"/>
      <c r="L25"/>
    </row>
    <row r="26" spans="1:12" s="967" customFormat="1" ht="38.25">
      <c r="A26" s="941" t="s">
        <v>640</v>
      </c>
      <c r="B26" s="940" t="s">
        <v>639</v>
      </c>
      <c r="C26" s="919" t="s">
        <v>687</v>
      </c>
      <c r="D26" s="918" t="s">
        <v>686</v>
      </c>
      <c r="E26" s="918" t="s">
        <v>685</v>
      </c>
      <c r="F26" s="918" t="s">
        <v>684</v>
      </c>
      <c r="G26" s="918" t="s">
        <v>676</v>
      </c>
      <c r="H26" s="966" t="s">
        <v>620</v>
      </c>
      <c r="I26"/>
      <c r="J26"/>
      <c r="K26"/>
      <c r="L26"/>
    </row>
    <row r="27" spans="1:12" s="969" customFormat="1" ht="12.75">
      <c r="A27" s="907"/>
      <c r="B27" s="915" t="s">
        <v>634</v>
      </c>
      <c r="C27" s="916" t="s">
        <v>633</v>
      </c>
      <c r="D27" s="914" t="s">
        <v>632</v>
      </c>
      <c r="E27" s="914" t="s">
        <v>631</v>
      </c>
      <c r="F27" s="914" t="s">
        <v>630</v>
      </c>
      <c r="G27" s="914" t="s">
        <v>652</v>
      </c>
      <c r="H27" s="968" t="s">
        <v>677</v>
      </c>
      <c r="I27"/>
      <c r="J27"/>
      <c r="K27"/>
      <c r="L27"/>
    </row>
    <row r="28" spans="1:12" s="969" customFormat="1" ht="44.25" customHeight="1">
      <c r="A28" s="907"/>
      <c r="B28" s="915" t="s">
        <v>629</v>
      </c>
      <c r="C28" s="970" t="s">
        <v>678</v>
      </c>
      <c r="D28" s="937" t="s">
        <v>679</v>
      </c>
      <c r="E28" s="937" t="s">
        <v>680</v>
      </c>
      <c r="F28" s="937" t="s">
        <v>681</v>
      </c>
      <c r="G28" s="937" t="s">
        <v>682</v>
      </c>
      <c r="H28" s="975"/>
      <c r="I28"/>
      <c r="J28"/>
      <c r="K28"/>
      <c r="L28"/>
    </row>
    <row r="29" spans="1:12" ht="12.75">
      <c r="A29" s="907">
        <f>+A23+1</f>
        <v>15</v>
      </c>
      <c r="B29" s="934" t="s">
        <v>627</v>
      </c>
      <c r="C29" s="972">
        <v>0</v>
      </c>
      <c r="D29" s="972">
        <v>40000000</v>
      </c>
      <c r="E29" s="972">
        <v>0</v>
      </c>
      <c r="F29" s="972">
        <v>2007898146</v>
      </c>
      <c r="G29" s="972">
        <v>0</v>
      </c>
      <c r="H29" s="973">
        <f aca="true" t="shared" si="2" ref="H29:H41">+C29-D29+E29+F29-G29</f>
        <v>1967898146</v>
      </c>
      <c r="I29"/>
      <c r="J29"/>
      <c r="K29"/>
      <c r="L29"/>
    </row>
    <row r="30" spans="1:12" ht="12.75">
      <c r="A30" s="907">
        <f aca="true" t="shared" si="3" ref="A30:A42">+A29+1</f>
        <v>16</v>
      </c>
      <c r="B30" s="934" t="s">
        <v>187</v>
      </c>
      <c r="C30" s="1151"/>
      <c r="D30" s="1151"/>
      <c r="E30" s="1152"/>
      <c r="F30" s="1151"/>
      <c r="G30" s="1151"/>
      <c r="H30" s="1153">
        <f t="shared" si="2"/>
        <v>0</v>
      </c>
      <c r="I30"/>
      <c r="J30"/>
      <c r="K30"/>
      <c r="L30"/>
    </row>
    <row r="31" spans="1:12" ht="12.75">
      <c r="A31" s="907">
        <f t="shared" si="3"/>
        <v>17</v>
      </c>
      <c r="B31" s="933" t="s">
        <v>563</v>
      </c>
      <c r="C31" s="1151"/>
      <c r="D31" s="1151"/>
      <c r="E31" s="1152"/>
      <c r="F31" s="1151"/>
      <c r="G31" s="1151"/>
      <c r="H31" s="1153">
        <f t="shared" si="2"/>
        <v>0</v>
      </c>
      <c r="I31"/>
      <c r="J31"/>
      <c r="K31"/>
      <c r="L31"/>
    </row>
    <row r="32" spans="1:12" ht="12.75">
      <c r="A32" s="907">
        <f t="shared" si="3"/>
        <v>18</v>
      </c>
      <c r="B32" s="933" t="s">
        <v>626</v>
      </c>
      <c r="C32" s="1151"/>
      <c r="D32" s="1151"/>
      <c r="E32" s="1152"/>
      <c r="F32" s="1151"/>
      <c r="G32" s="1151"/>
      <c r="H32" s="1153">
        <f t="shared" si="2"/>
        <v>0</v>
      </c>
      <c r="I32"/>
      <c r="J32"/>
      <c r="K32"/>
      <c r="L32"/>
    </row>
    <row r="33" spans="1:12" ht="12.75">
      <c r="A33" s="907">
        <f t="shared" si="3"/>
        <v>19</v>
      </c>
      <c r="B33" s="933" t="s">
        <v>189</v>
      </c>
      <c r="C33" s="1151"/>
      <c r="D33" s="1151"/>
      <c r="E33" s="1152"/>
      <c r="F33" s="1151"/>
      <c r="G33" s="1151"/>
      <c r="H33" s="1153">
        <f t="shared" si="2"/>
        <v>0</v>
      </c>
      <c r="I33"/>
      <c r="J33"/>
      <c r="K33"/>
      <c r="L33"/>
    </row>
    <row r="34" spans="1:12" ht="12.75">
      <c r="A34" s="907">
        <f t="shared" si="3"/>
        <v>20</v>
      </c>
      <c r="B34" s="933" t="s">
        <v>190</v>
      </c>
      <c r="C34" s="1151"/>
      <c r="D34" s="1151"/>
      <c r="E34" s="1152"/>
      <c r="F34" s="1151"/>
      <c r="G34" s="1151"/>
      <c r="H34" s="1153">
        <f t="shared" si="2"/>
        <v>0</v>
      </c>
      <c r="I34"/>
      <c r="J34"/>
      <c r="K34"/>
      <c r="L34"/>
    </row>
    <row r="35" spans="1:12" ht="12.75">
      <c r="A35" s="907">
        <f t="shared" si="3"/>
        <v>21</v>
      </c>
      <c r="B35" s="933" t="s">
        <v>384</v>
      </c>
      <c r="C35" s="1151"/>
      <c r="D35" s="1151"/>
      <c r="E35" s="1152"/>
      <c r="F35" s="1151"/>
      <c r="G35" s="1151"/>
      <c r="H35" s="1153">
        <f t="shared" si="2"/>
        <v>0</v>
      </c>
      <c r="I35"/>
      <c r="J35"/>
      <c r="K35"/>
      <c r="L35"/>
    </row>
    <row r="36" spans="1:12" ht="12.75">
      <c r="A36" s="907">
        <f t="shared" si="3"/>
        <v>22</v>
      </c>
      <c r="B36" s="933" t="s">
        <v>191</v>
      </c>
      <c r="C36" s="1151"/>
      <c r="D36" s="1151"/>
      <c r="E36" s="1152"/>
      <c r="F36" s="1151"/>
      <c r="G36" s="1151"/>
      <c r="H36" s="1153">
        <f t="shared" si="2"/>
        <v>0</v>
      </c>
      <c r="I36"/>
      <c r="J36"/>
      <c r="K36"/>
      <c r="L36"/>
    </row>
    <row r="37" spans="1:12" ht="12.75">
      <c r="A37" s="907">
        <f t="shared" si="3"/>
        <v>23</v>
      </c>
      <c r="B37" s="933" t="s">
        <v>625</v>
      </c>
      <c r="C37" s="1151"/>
      <c r="D37" s="1151"/>
      <c r="E37" s="1152"/>
      <c r="F37" s="1151"/>
      <c r="G37" s="1151"/>
      <c r="H37" s="1153">
        <f t="shared" si="2"/>
        <v>0</v>
      </c>
      <c r="I37"/>
      <c r="J37"/>
      <c r="K37"/>
      <c r="L37"/>
    </row>
    <row r="38" spans="1:12" ht="12.75">
      <c r="A38" s="907">
        <f t="shared" si="3"/>
        <v>24</v>
      </c>
      <c r="B38" s="933" t="s">
        <v>194</v>
      </c>
      <c r="C38" s="1151"/>
      <c r="D38" s="1151"/>
      <c r="E38" s="1152"/>
      <c r="F38" s="1151"/>
      <c r="G38" s="1151"/>
      <c r="H38" s="1153">
        <f t="shared" si="2"/>
        <v>0</v>
      </c>
      <c r="I38"/>
      <c r="J38"/>
      <c r="K38"/>
      <c r="L38"/>
    </row>
    <row r="39" spans="1:12" ht="12.75">
      <c r="A39" s="907">
        <f t="shared" si="3"/>
        <v>25</v>
      </c>
      <c r="B39" s="933" t="s">
        <v>564</v>
      </c>
      <c r="C39" s="1151"/>
      <c r="D39" s="1151"/>
      <c r="E39" s="1152"/>
      <c r="F39" s="1151"/>
      <c r="G39" s="1151"/>
      <c r="H39" s="1153">
        <f t="shared" si="2"/>
        <v>0</v>
      </c>
      <c r="I39"/>
      <c r="J39"/>
      <c r="K39"/>
      <c r="L39"/>
    </row>
    <row r="40" spans="1:12" ht="12.75">
      <c r="A40" s="907">
        <f t="shared" si="3"/>
        <v>26</v>
      </c>
      <c r="B40" s="933" t="s">
        <v>565</v>
      </c>
      <c r="C40" s="1151"/>
      <c r="D40" s="1151"/>
      <c r="E40" s="1152"/>
      <c r="F40" s="1151"/>
      <c r="G40" s="1151"/>
      <c r="H40" s="1153">
        <f t="shared" si="2"/>
        <v>0</v>
      </c>
      <c r="I40"/>
      <c r="J40"/>
      <c r="K40"/>
      <c r="L40"/>
    </row>
    <row r="41" spans="1:12" ht="12.75">
      <c r="A41" s="905">
        <f t="shared" si="3"/>
        <v>27</v>
      </c>
      <c r="B41" s="932" t="s">
        <v>624</v>
      </c>
      <c r="C41" s="972">
        <v>0</v>
      </c>
      <c r="D41" s="972">
        <v>0</v>
      </c>
      <c r="E41" s="863">
        <v>0</v>
      </c>
      <c r="F41" s="972">
        <f>2574997049-268585453</f>
        <v>2306411596</v>
      </c>
      <c r="G41" s="972">
        <v>0</v>
      </c>
      <c r="H41" s="973">
        <f t="shared" si="2"/>
        <v>2306411596</v>
      </c>
      <c r="I41"/>
      <c r="J41"/>
      <c r="K41"/>
      <c r="L41"/>
    </row>
    <row r="42" spans="1:12" ht="13.5" thickBot="1">
      <c r="A42" s="930">
        <f t="shared" si="3"/>
        <v>28</v>
      </c>
      <c r="B42" s="929" t="s">
        <v>772</v>
      </c>
      <c r="C42" s="899">
        <f aca="true" t="shared" si="4" ref="C42:H42">(C29+C41)/2</f>
        <v>0</v>
      </c>
      <c r="D42" s="898">
        <f t="shared" si="4"/>
        <v>20000000</v>
      </c>
      <c r="E42" s="898">
        <f t="shared" si="4"/>
        <v>0</v>
      </c>
      <c r="F42" s="898">
        <f t="shared" si="4"/>
        <v>2157154871</v>
      </c>
      <c r="G42" s="898">
        <f t="shared" si="4"/>
        <v>0</v>
      </c>
      <c r="H42" s="974">
        <f t="shared" si="4"/>
        <v>2137154871</v>
      </c>
      <c r="I42"/>
      <c r="J42"/>
      <c r="K42"/>
      <c r="L42"/>
    </row>
    <row r="43" spans="1:12" ht="13.5" thickTop="1">
      <c r="A43" s="961"/>
      <c r="B43" s="976"/>
      <c r="C43" s="977"/>
      <c r="D43" s="978"/>
      <c r="E43" s="978"/>
      <c r="F43" s="978"/>
      <c r="G43" s="977"/>
      <c r="H43" s="977"/>
      <c r="I43"/>
      <c r="J43"/>
      <c r="K43"/>
      <c r="L43"/>
    </row>
    <row r="44" spans="1:11" ht="12.75" customHeight="1">
      <c r="A44" s="979" t="s">
        <v>683</v>
      </c>
      <c r="F44" s="589"/>
      <c r="G44" s="589"/>
      <c r="H44" s="589"/>
      <c r="I44"/>
      <c r="J44"/>
      <c r="K44"/>
    </row>
    <row r="45" spans="5:10" ht="12.75">
      <c r="E45" s="589"/>
      <c r="F45" s="589"/>
      <c r="G45" s="589"/>
      <c r="H45" s="589"/>
      <c r="J45" s="976"/>
    </row>
    <row r="46" spans="1:8" ht="15">
      <c r="A46" s="981" t="s">
        <v>7</v>
      </c>
      <c r="E46" s="589"/>
      <c r="F46" s="589"/>
      <c r="G46" s="589"/>
      <c r="H46" s="896"/>
    </row>
    <row r="47" spans="1:8" ht="15">
      <c r="A47" s="981"/>
      <c r="B47" s="982" t="s">
        <v>634</v>
      </c>
      <c r="C47" s="982" t="s">
        <v>633</v>
      </c>
      <c r="D47" s="983" t="s">
        <v>632</v>
      </c>
      <c r="E47" s="982" t="s">
        <v>631</v>
      </c>
      <c r="F47" s="983" t="s">
        <v>630</v>
      </c>
      <c r="G47" s="982" t="s">
        <v>652</v>
      </c>
      <c r="H47" s="982" t="s">
        <v>653</v>
      </c>
    </row>
    <row r="48" spans="1:12" ht="12.75">
      <c r="A48" s="662">
        <f>+A42+1</f>
        <v>29</v>
      </c>
      <c r="B48" s="984" t="str">
        <f>"Annual Interest Expense for "&amp;'I&amp;M TCOS'!L2</f>
        <v>Annual Interest Expense for 2017</v>
      </c>
      <c r="C48" s="985"/>
      <c r="D48" s="986"/>
      <c r="E48" s="987"/>
      <c r="F48" s="987"/>
      <c r="G48" s="987"/>
      <c r="H48" s="987"/>
      <c r="I48" s="987"/>
      <c r="J48" s="987"/>
      <c r="K48" s="987"/>
      <c r="L48" s="987"/>
    </row>
    <row r="49" spans="1:12" ht="12.75">
      <c r="A49" s="662">
        <f aca="true" t="shared" si="5" ref="A49:A56">+A48+1</f>
        <v>30</v>
      </c>
      <c r="B49" s="1139" t="s">
        <v>756</v>
      </c>
      <c r="C49" s="985"/>
      <c r="D49" s="986"/>
      <c r="E49" s="1417">
        <v>100206743</v>
      </c>
      <c r="F49" s="987"/>
      <c r="G49" s="987"/>
      <c r="H49" s="987"/>
      <c r="I49" s="987"/>
      <c r="J49" s="987"/>
      <c r="K49" s="987"/>
      <c r="L49" s="987"/>
    </row>
    <row r="50" spans="1:12" ht="28.5" customHeight="1">
      <c r="A50" s="662">
        <f t="shared" si="5"/>
        <v>31</v>
      </c>
      <c r="B50" s="1529" t="str">
        <f>"Less: Total Hedge Gain/Expense Accumulated from p 256-257, col. (i) of FERC Form 1  included in Ln "&amp;A49&amp;" and shown in "&amp;A74&amp;" below."</f>
        <v>Less: Total Hedge Gain/Expense Accumulated from p 256-257, col. (i) of FERC Form 1  included in Ln 30 and shown in 50 below.</v>
      </c>
      <c r="C50" s="1530"/>
      <c r="D50" s="986"/>
      <c r="E50" s="985">
        <f>+C74</f>
        <v>2028229</v>
      </c>
      <c r="F50" s="987"/>
      <c r="G50" s="987"/>
      <c r="H50" s="987"/>
      <c r="I50" s="987"/>
      <c r="J50" s="987"/>
      <c r="K50" s="987"/>
      <c r="L50" s="987"/>
    </row>
    <row r="51" spans="1:12" ht="16.5" customHeight="1">
      <c r="A51" s="662">
        <f t="shared" si="5"/>
        <v>32</v>
      </c>
      <c r="B51" s="990" t="str">
        <f>"Plus:  Allowed Hedge Recovery From Ln "&amp;A80&amp;"  below."</f>
        <v>Plus:  Allowed Hedge Recovery From Ln 55  below.</v>
      </c>
      <c r="C51" s="1140"/>
      <c r="D51" s="986"/>
      <c r="E51" s="991">
        <f>+E80</f>
        <v>2028229</v>
      </c>
      <c r="F51" s="987"/>
      <c r="G51" s="987"/>
      <c r="H51" s="987"/>
      <c r="I51" s="987"/>
      <c r="J51" s="987"/>
      <c r="K51" s="987"/>
      <c r="L51" s="987"/>
    </row>
    <row r="52" spans="1:10" ht="12.75">
      <c r="A52" s="662">
        <f t="shared" si="5"/>
        <v>33</v>
      </c>
      <c r="B52" s="1139" t="s">
        <v>757</v>
      </c>
      <c r="C52" s="1141"/>
      <c r="D52" s="992"/>
      <c r="E52" s="1418">
        <v>2129649</v>
      </c>
      <c r="F52" s="987"/>
      <c r="G52" s="987"/>
      <c r="H52" s="987"/>
      <c r="I52" s="987"/>
      <c r="J52" s="987"/>
    </row>
    <row r="53" spans="1:10" ht="12.75">
      <c r="A53" s="662">
        <f t="shared" si="5"/>
        <v>34</v>
      </c>
      <c r="B53" s="1139" t="s">
        <v>758</v>
      </c>
      <c r="C53" s="993"/>
      <c r="D53" s="986"/>
      <c r="E53" s="1418">
        <v>1252844</v>
      </c>
      <c r="F53" s="987"/>
      <c r="G53" s="987"/>
      <c r="H53" s="987"/>
      <c r="I53" s="987"/>
      <c r="J53" s="987"/>
    </row>
    <row r="54" spans="1:10" ht="12.75">
      <c r="A54" s="662">
        <f t="shared" si="5"/>
        <v>35</v>
      </c>
      <c r="B54" s="1139" t="s">
        <v>759</v>
      </c>
      <c r="C54" s="993"/>
      <c r="D54" s="986"/>
      <c r="E54" s="1418">
        <v>0</v>
      </c>
      <c r="F54" s="987"/>
      <c r="G54" s="987"/>
      <c r="H54" s="987"/>
      <c r="I54" s="987"/>
      <c r="J54" s="987"/>
    </row>
    <row r="55" spans="1:10" ht="13.5" thickBot="1">
      <c r="A55" s="662">
        <f t="shared" si="5"/>
        <v>36</v>
      </c>
      <c r="B55" s="1139" t="s">
        <v>760</v>
      </c>
      <c r="C55" s="993"/>
      <c r="D55" s="986"/>
      <c r="E55" s="1419">
        <v>1712</v>
      </c>
      <c r="F55" s="987"/>
      <c r="G55" s="987"/>
      <c r="H55" s="987"/>
      <c r="I55" s="987"/>
      <c r="J55" s="987"/>
    </row>
    <row r="56" spans="1:10" ht="12.75">
      <c r="A56" s="662">
        <f t="shared" si="5"/>
        <v>37</v>
      </c>
      <c r="B56" s="984" t="str">
        <f>"Total Interest Expense (Ln "&amp;A49&amp;" - "&amp;A50&amp;" + "&amp;A52&amp;" + "&amp;A53&amp;" - "&amp;A54&amp;" - "&amp;A55&amp;")"</f>
        <v>Total Interest Expense (Ln 30 - 31 + 33 + 34 - 35 - 36)</v>
      </c>
      <c r="C56" s="994"/>
      <c r="D56" s="995"/>
      <c r="E56" s="996">
        <f>+E49-E50+E51+E52+E53-E54-E55</f>
        <v>103587524</v>
      </c>
      <c r="F56" s="987"/>
      <c r="G56" s="987"/>
      <c r="H56" s="987"/>
      <c r="I56" s="987"/>
      <c r="J56" s="987"/>
    </row>
    <row r="57" spans="1:10" ht="13.5" thickBot="1">
      <c r="A57" s="662"/>
      <c r="B57" s="988"/>
      <c r="C57" s="993"/>
      <c r="D57" s="986"/>
      <c r="E57" s="996"/>
      <c r="F57" s="987"/>
      <c r="G57" s="987"/>
      <c r="H57" s="987"/>
      <c r="I57" s="987"/>
      <c r="J57" s="987"/>
    </row>
    <row r="58" spans="1:10" ht="13.5" thickBot="1">
      <c r="A58" s="662">
        <f>+A56+1</f>
        <v>38</v>
      </c>
      <c r="B58" s="984" t="str">
        <f>"Average Cost of Debt for "&amp;'I&amp;M TCOS'!L2&amp;" (Ln "&amp;A56&amp;"/ ln "&amp;A42&amp;" (g))"</f>
        <v>Average Cost of Debt for 2017 (Ln 37/ ln 28 (g))</v>
      </c>
      <c r="C58" s="994"/>
      <c r="D58" s="986"/>
      <c r="E58" s="997">
        <f>+E56/H42</f>
        <v>0.04846982565729089</v>
      </c>
      <c r="F58" s="987"/>
      <c r="G58" s="987"/>
      <c r="H58" s="987"/>
      <c r="I58" s="987"/>
      <c r="J58" s="987"/>
    </row>
    <row r="59" spans="1:10" ht="12.75">
      <c r="A59" s="998"/>
      <c r="B59" s="988"/>
      <c r="C59" s="993"/>
      <c r="D59" s="986"/>
      <c r="E59" s="993"/>
      <c r="F59" s="987"/>
      <c r="G59" s="987"/>
      <c r="H59" s="987"/>
      <c r="I59" s="987"/>
      <c r="J59" s="987"/>
    </row>
    <row r="60" spans="1:7" s="1000" customFormat="1" ht="28.5" customHeight="1">
      <c r="A60" s="783"/>
      <c r="B60" s="1531" t="s">
        <v>0</v>
      </c>
      <c r="C60" s="1531"/>
      <c r="D60" s="1531"/>
      <c r="E60" s="1531"/>
      <c r="F60" s="784"/>
      <c r="G60" s="999"/>
    </row>
    <row r="61" spans="1:7" s="1000" customFormat="1" ht="107.25" customHeight="1">
      <c r="A61" s="785">
        <f>+A58+1</f>
        <v>39</v>
      </c>
      <c r="B61" s="1532" t="s">
        <v>314</v>
      </c>
      <c r="C61" s="1533"/>
      <c r="D61" s="1533"/>
      <c r="E61" s="1533"/>
      <c r="F61" s="589"/>
      <c r="G61" s="999"/>
    </row>
    <row r="62" spans="1:8" s="1000" customFormat="1" ht="12" customHeight="1">
      <c r="A62" s="783"/>
      <c r="B62" s="786"/>
      <c r="C62" s="786"/>
      <c r="D62" s="786"/>
      <c r="E62" s="786"/>
      <c r="F62" s="999"/>
      <c r="G62" s="1534" t="s">
        <v>234</v>
      </c>
      <c r="H62" s="1534"/>
    </row>
    <row r="63" spans="1:8" s="1000" customFormat="1" ht="52.5" customHeight="1">
      <c r="A63" s="603"/>
      <c r="B63" s="1002" t="s">
        <v>361</v>
      </c>
      <c r="C63" s="1001" t="str">
        <f>"Total Hedge (Gain)/Loss for "&amp;'I&amp;M TCOS'!L2</f>
        <v>Total Hedge (Gain)/Loss for 2017</v>
      </c>
      <c r="D63" s="1001" t="str">
        <f>"Less Excludable Amounts (See NOTE on Line "&amp;A61&amp;")"</f>
        <v>Less Excludable Amounts (See NOTE on Line 39)</v>
      </c>
      <c r="E63" s="1001" t="s">
        <v>1</v>
      </c>
      <c r="F63" s="1001" t="s">
        <v>233</v>
      </c>
      <c r="G63" s="1001" t="s">
        <v>285</v>
      </c>
      <c r="H63" s="1001" t="s">
        <v>287</v>
      </c>
    </row>
    <row r="64" spans="1:10" s="1000" customFormat="1" ht="12.75" customHeight="1">
      <c r="A64" s="603">
        <f>+A61+1</f>
        <v>40</v>
      </c>
      <c r="B64" s="1420" t="s">
        <v>966</v>
      </c>
      <c r="C64" s="1421">
        <v>0</v>
      </c>
      <c r="D64" s="1420"/>
      <c r="E64" s="1004">
        <f aca="true" t="shared" si="6" ref="E64:E72">+C64-D64</f>
        <v>0</v>
      </c>
      <c r="F64" s="1423">
        <v>0</v>
      </c>
      <c r="G64" s="1424">
        <v>38693</v>
      </c>
      <c r="H64" s="1424">
        <v>42338</v>
      </c>
      <c r="I64" s="330"/>
      <c r="J64" s="330"/>
    </row>
    <row r="65" spans="1:8" s="1000" customFormat="1" ht="12.75" customHeight="1">
      <c r="A65" s="603">
        <f aca="true" t="shared" si="7" ref="A65:A74">+A64+1</f>
        <v>41</v>
      </c>
      <c r="B65" s="1420" t="s">
        <v>880</v>
      </c>
      <c r="C65" s="1421">
        <v>421740</v>
      </c>
      <c r="D65" s="1420"/>
      <c r="E65" s="1004">
        <f t="shared" si="6"/>
        <v>421740</v>
      </c>
      <c r="F65" s="1423">
        <v>8065784</v>
      </c>
      <c r="G65" s="1424">
        <v>42688</v>
      </c>
      <c r="H65" s="1424">
        <v>50099</v>
      </c>
    </row>
    <row r="66" spans="1:8" s="1000" customFormat="1" ht="12.75" customHeight="1">
      <c r="A66" s="603">
        <f t="shared" si="7"/>
        <v>42</v>
      </c>
      <c r="B66" s="1420" t="s">
        <v>967</v>
      </c>
      <c r="C66" s="1421">
        <v>1606489</v>
      </c>
      <c r="D66" s="1422"/>
      <c r="E66" s="1004">
        <f t="shared" si="6"/>
        <v>1606489</v>
      </c>
      <c r="F66" s="1423">
        <v>8367132</v>
      </c>
      <c r="G66" s="1424">
        <v>41348</v>
      </c>
      <c r="H66" s="1424">
        <v>45000</v>
      </c>
    </row>
    <row r="67" spans="1:8" s="1000" customFormat="1" ht="12.75" customHeight="1">
      <c r="A67" s="603">
        <f t="shared" si="7"/>
        <v>43</v>
      </c>
      <c r="B67" s="1260"/>
      <c r="C67" s="1261"/>
      <c r="D67" s="1005"/>
      <c r="E67" s="1004">
        <f t="shared" si="6"/>
        <v>0</v>
      </c>
      <c r="F67" s="1262"/>
      <c r="G67" s="1263"/>
      <c r="H67" s="1263"/>
    </row>
    <row r="68" spans="1:8" s="1000" customFormat="1" ht="12.75" customHeight="1">
      <c r="A68" s="603">
        <f t="shared" si="7"/>
        <v>44</v>
      </c>
      <c r="B68" s="1260"/>
      <c r="C68" s="1261"/>
      <c r="D68" s="1003"/>
      <c r="E68" s="1004">
        <f t="shared" si="6"/>
        <v>0</v>
      </c>
      <c r="F68" s="1262"/>
      <c r="G68" s="1263"/>
      <c r="H68" s="1263"/>
    </row>
    <row r="69" spans="1:8" s="1000" customFormat="1" ht="12.75" customHeight="1">
      <c r="A69" s="603">
        <f t="shared" si="7"/>
        <v>45</v>
      </c>
      <c r="B69" s="1260"/>
      <c r="C69" s="1261"/>
      <c r="D69" s="1003"/>
      <c r="E69" s="1004">
        <f t="shared" si="6"/>
        <v>0</v>
      </c>
      <c r="F69" s="1262"/>
      <c r="G69" s="1263"/>
      <c r="H69" s="1263"/>
    </row>
    <row r="70" spans="1:8" s="1000" customFormat="1" ht="12.75" customHeight="1">
      <c r="A70" s="603">
        <f t="shared" si="7"/>
        <v>46</v>
      </c>
      <c r="B70" s="1260"/>
      <c r="C70" s="1261"/>
      <c r="D70" s="1003"/>
      <c r="E70" s="1004">
        <f t="shared" si="6"/>
        <v>0</v>
      </c>
      <c r="F70" s="1262"/>
      <c r="G70" s="1263"/>
      <c r="H70" s="1263"/>
    </row>
    <row r="71" spans="1:8" s="1000" customFormat="1" ht="12.75" customHeight="1">
      <c r="A71" s="603">
        <f t="shared" si="7"/>
        <v>47</v>
      </c>
      <c r="B71" s="1260"/>
      <c r="C71" s="1261"/>
      <c r="D71" s="1006"/>
      <c r="E71" s="1004">
        <f t="shared" si="6"/>
        <v>0</v>
      </c>
      <c r="F71" s="1262"/>
      <c r="G71" s="1263"/>
      <c r="H71" s="1263"/>
    </row>
    <row r="72" spans="1:8" s="1000" customFormat="1" ht="12.75" customHeight="1">
      <c r="A72" s="603">
        <f t="shared" si="7"/>
        <v>48</v>
      </c>
      <c r="B72" s="1003"/>
      <c r="C72" s="863"/>
      <c r="D72" s="989"/>
      <c r="E72" s="1004">
        <f t="shared" si="6"/>
        <v>0</v>
      </c>
      <c r="F72" s="1007"/>
      <c r="G72" s="1007"/>
      <c r="H72" s="1007"/>
    </row>
    <row r="73" spans="1:7" s="1000" customFormat="1" ht="12.75" customHeight="1">
      <c r="A73" s="603">
        <f t="shared" si="7"/>
        <v>49</v>
      </c>
      <c r="B73" s="546"/>
      <c r="C73" s="1008"/>
      <c r="D73" s="1008"/>
      <c r="E73" s="1009"/>
      <c r="F73" s="1004">
        <f>SUM(F64:F72)</f>
        <v>16432916</v>
      </c>
      <c r="G73" s="999"/>
    </row>
    <row r="74" spans="1:7" s="1000" customFormat="1" ht="12.75" customHeight="1">
      <c r="A74" s="603">
        <f t="shared" si="7"/>
        <v>50</v>
      </c>
      <c r="B74" s="988" t="s">
        <v>8</v>
      </c>
      <c r="C74" s="996">
        <f>SUM(C64:C72)</f>
        <v>2028229</v>
      </c>
      <c r="D74" s="996">
        <f>SUM(D64:D72)</f>
        <v>0</v>
      </c>
      <c r="F74" s="999"/>
      <c r="G74" s="999"/>
    </row>
    <row r="75" spans="1:7" s="1000" customFormat="1" ht="21" customHeight="1">
      <c r="A75" s="603"/>
      <c r="B75" s="988"/>
      <c r="C75" s="996"/>
      <c r="D75" s="996"/>
      <c r="E75" s="996"/>
      <c r="F75" s="999"/>
      <c r="G75" s="999"/>
    </row>
    <row r="76" spans="1:7" s="1000" customFormat="1" ht="14.25" customHeight="1">
      <c r="A76" s="603">
        <f>+A74+1</f>
        <v>51</v>
      </c>
      <c r="B76" s="988" t="str">
        <f>"Hedge Gain or Loss Prior to Application of Recovery Limit (Sum of Lines "&amp;A64&amp;" to "&amp;A72&amp;")"</f>
        <v>Hedge Gain or Loss Prior to Application of Recovery Limit (Sum of Lines 40 to 48)</v>
      </c>
      <c r="C76" s="996"/>
      <c r="D76" s="996"/>
      <c r="E76" s="996">
        <f>SUM(E64:E72)</f>
        <v>2028229</v>
      </c>
      <c r="F76" s="999"/>
      <c r="G76" s="999"/>
    </row>
    <row r="77" spans="1:8" s="1000" customFormat="1" ht="12.75" customHeight="1">
      <c r="A77" s="603">
        <f>+A76+1</f>
        <v>52</v>
      </c>
      <c r="B77" s="1010" t="str">
        <f>"Total Average Capital Structure Balance for "&amp;'I&amp;M TCOS'!L2&amp;" (TCOS, Ln "&amp;'I&amp;M TCOS'!B256&amp;")"</f>
        <v>Total Average Capital Structure Balance for 2017 (TCOS, Ln 157)</v>
      </c>
      <c r="C77" s="993"/>
      <c r="D77" s="986"/>
      <c r="E77" s="1011">
        <f>'I&amp;M TCOS'!G256</f>
        <v>4342511688.5</v>
      </c>
      <c r="F77" s="999"/>
      <c r="G77" s="999"/>
      <c r="H77" s="1012"/>
    </row>
    <row r="78" spans="1:7" s="1000" customFormat="1" ht="12.75" customHeight="1">
      <c r="A78" s="603">
        <f>+A77+1</f>
        <v>53</v>
      </c>
      <c r="B78" s="988" t="s">
        <v>491</v>
      </c>
      <c r="C78" s="993"/>
      <c r="D78" s="986"/>
      <c r="E78" s="1013">
        <v>0.0005</v>
      </c>
      <c r="F78" s="999"/>
      <c r="G78" s="1014"/>
    </row>
    <row r="79" spans="1:7" s="1000" customFormat="1" ht="12.75" customHeight="1" thickBot="1">
      <c r="A79" s="603">
        <f>+A78+1</f>
        <v>54</v>
      </c>
      <c r="B79" s="988" t="s">
        <v>492</v>
      </c>
      <c r="C79" s="993"/>
      <c r="D79" s="986"/>
      <c r="E79" s="1015">
        <f>+E77*E78</f>
        <v>2171255.84425</v>
      </c>
      <c r="F79" s="999"/>
      <c r="G79" s="999"/>
    </row>
    <row r="80" spans="1:7" s="1000" customFormat="1" ht="12.75" customHeight="1" thickBot="1">
      <c r="A80" s="603">
        <f>+A79+1</f>
        <v>55</v>
      </c>
      <c r="B80" s="984" t="str">
        <f>"Recoverable Hedge Amortization (Lesser of Ln "&amp;A76&amp;" or Ln "&amp;A79&amp;")"</f>
        <v>Recoverable Hedge Amortization (Lesser of Ln 51 or Ln 54)</v>
      </c>
      <c r="C80" s="993"/>
      <c r="D80" s="986"/>
      <c r="E80" s="1016">
        <f>+IF(E79&lt;E76,E79,E76)</f>
        <v>2028229</v>
      </c>
      <c r="F80" s="999"/>
      <c r="G80" s="999"/>
    </row>
    <row r="81" spans="1:7" s="1000" customFormat="1" ht="12.75" customHeight="1">
      <c r="A81" s="603"/>
      <c r="B81" s="988"/>
      <c r="C81" s="993"/>
      <c r="D81" s="986"/>
      <c r="E81" s="993"/>
      <c r="F81" s="999"/>
      <c r="G81" s="999"/>
    </row>
    <row r="82" spans="1:7" s="1000" customFormat="1" ht="12.75" customHeight="1">
      <c r="A82" s="1017" t="s">
        <v>9</v>
      </c>
      <c r="B82" s="1018"/>
      <c r="C82" s="993"/>
      <c r="D82" s="986"/>
      <c r="E82" s="993"/>
      <c r="F82" s="999"/>
      <c r="G82" s="999"/>
    </row>
    <row r="83" spans="1:7" s="1000" customFormat="1" ht="12.75" customHeight="1">
      <c r="A83" s="603"/>
      <c r="B83" s="988"/>
      <c r="C83" s="993"/>
      <c r="D83" s="986"/>
      <c r="E83" s="993"/>
      <c r="F83" s="999"/>
      <c r="G83" s="999"/>
    </row>
    <row r="84" spans="1:7" s="1000" customFormat="1" ht="12.75" customHeight="1">
      <c r="A84" s="603"/>
      <c r="B84" s="1019" t="s">
        <v>260</v>
      </c>
      <c r="C84" s="1020"/>
      <c r="D84" s="1021"/>
      <c r="E84" s="1020" t="s">
        <v>508</v>
      </c>
      <c r="F84" s="999"/>
      <c r="G84" s="999"/>
    </row>
    <row r="85" spans="1:7" s="1000" customFormat="1" ht="12.75" customHeight="1">
      <c r="A85" s="603">
        <f>+A80+1</f>
        <v>56</v>
      </c>
      <c r="B85" s="986" t="str">
        <f>""&amp;C$85*100&amp;"% Series - "&amp;C$86&amp;" - Dividend Rate (p. 250-251)"</f>
        <v>0% Series -  - Dividend Rate (p. 250-251)</v>
      </c>
      <c r="C85" s="1265"/>
      <c r="D85" s="1265"/>
      <c r="E85" s="1020"/>
      <c r="F85" s="999"/>
      <c r="G85" s="999"/>
    </row>
    <row r="86" spans="1:7" s="1000" customFormat="1" ht="12.75" customHeight="1">
      <c r="A86" s="603">
        <f>+A85+1</f>
        <v>57</v>
      </c>
      <c r="B86" s="986" t="str">
        <f>""&amp;C$85*100&amp;"% Series - "&amp;C$86&amp;" - Par Value (p. 250-251)"</f>
        <v>0% Series -  - Par Value (p. 250-251)</v>
      </c>
      <c r="C86" s="1266"/>
      <c r="D86" s="1266"/>
      <c r="E86" s="1020"/>
      <c r="F86" s="999"/>
      <c r="G86" s="999"/>
    </row>
    <row r="87" spans="1:7" s="1000" customFormat="1" ht="12.75" customHeight="1">
      <c r="A87" s="603">
        <f>+A86+1</f>
        <v>58</v>
      </c>
      <c r="B87" s="986" t="str">
        <f>""&amp;C$85*100&amp;"% Series - "&amp;C$86&amp;" - Shares O/S (p.250-251) "</f>
        <v>0% Series -  - Shares O/S (p.250-251) </v>
      </c>
      <c r="C87" s="1264"/>
      <c r="D87" s="1264"/>
      <c r="E87" s="1022"/>
      <c r="F87" s="999"/>
      <c r="G87" s="999"/>
    </row>
    <row r="88" spans="1:7" s="1000" customFormat="1" ht="12.75" customHeight="1">
      <c r="A88" s="603">
        <f>+A87+1</f>
        <v>59</v>
      </c>
      <c r="B88" s="986" t="str">
        <f>""&amp;C$85*100&amp;"% Series - "&amp;C$86&amp;" - Monetary Value (Ln "&amp;A86&amp;" * Ln "&amp;A87&amp;")"</f>
        <v>0% Series -  - Monetary Value (Ln 57 * Ln 58)</v>
      </c>
      <c r="C88" s="1023">
        <f>+C87*C86</f>
        <v>0</v>
      </c>
      <c r="D88" s="1023">
        <f>+D87*D86</f>
        <v>0</v>
      </c>
      <c r="E88" s="1024">
        <f>IF(C88=D88=0,0,AVERAGE(C88:D88))</f>
        <v>0</v>
      </c>
      <c r="F88" s="999"/>
      <c r="G88" s="999"/>
    </row>
    <row r="89" spans="1:7" s="1000" customFormat="1" ht="12.75" customHeight="1">
      <c r="A89" s="603">
        <f>+A88+1</f>
        <v>60</v>
      </c>
      <c r="B89" s="986" t="str">
        <f>""&amp;C$85*100&amp;"% Series - "&amp;C$86&amp;" -  Dividend Amount (Ln "&amp;A85&amp;" * Ln "&amp;A88&amp;")"</f>
        <v>0% Series -  -  Dividend Amount (Ln 56 * Ln 59)</v>
      </c>
      <c r="C89" s="1023">
        <f>+C88*C85</f>
        <v>0</v>
      </c>
      <c r="D89" s="1023">
        <f>+D88*D85</f>
        <v>0</v>
      </c>
      <c r="E89" s="1024">
        <f>IF(C89=D89=0,0,AVERAGE(C89:D89))</f>
        <v>0</v>
      </c>
      <c r="F89" s="999"/>
      <c r="G89" s="999"/>
    </row>
    <row r="90" spans="1:7" s="1000" customFormat="1" ht="12.75" customHeight="1">
      <c r="A90" s="603"/>
      <c r="B90" s="986"/>
      <c r="C90" s="1023"/>
      <c r="D90" s="1014"/>
      <c r="E90" s="1025"/>
      <c r="F90" s="999"/>
      <c r="G90" s="999"/>
    </row>
    <row r="91" spans="1:7" s="1000" customFormat="1" ht="12.75" customHeight="1">
      <c r="A91" s="603">
        <f>+A89+1</f>
        <v>61</v>
      </c>
      <c r="B91" s="986" t="str">
        <f>""&amp;C$91*100&amp;"% Series - "&amp;C$92&amp;" - Dividend Rate (p. 250-251)"</f>
        <v>0% Series -  - Dividend Rate (p. 250-251)</v>
      </c>
      <c r="C91" s="1268"/>
      <c r="D91" s="1268"/>
      <c r="E91" s="1025"/>
      <c r="F91" s="999"/>
      <c r="G91" s="999"/>
    </row>
    <row r="92" spans="1:7" s="1000" customFormat="1" ht="12.75" customHeight="1">
      <c r="A92" s="603">
        <f>+A91+1</f>
        <v>62</v>
      </c>
      <c r="B92" s="986" t="str">
        <f>""&amp;C$91*100&amp;"% Series - "&amp;C$92&amp;" - Par Value (p. 250-251)"</f>
        <v>0% Series -  - Par Value (p. 250-251)</v>
      </c>
      <c r="C92" s="1269"/>
      <c r="D92" s="1269"/>
      <c r="E92" s="1025"/>
      <c r="F92" s="999"/>
      <c r="G92" s="999"/>
    </row>
    <row r="93" spans="1:7" s="1000" customFormat="1" ht="12.75" customHeight="1">
      <c r="A93" s="603">
        <f>+A92+1</f>
        <v>63</v>
      </c>
      <c r="B93" s="986" t="str">
        <f>""&amp;C$91*100&amp;"% Series - "&amp;C$92&amp;" - Shares O/S (p.250-251) "</f>
        <v>0% Series -  - Shares O/S (p.250-251) </v>
      </c>
      <c r="C93" s="1267"/>
      <c r="D93" s="1267"/>
      <c r="E93" s="1025"/>
      <c r="F93" s="999"/>
      <c r="G93" s="999"/>
    </row>
    <row r="94" spans="1:7" s="1000" customFormat="1" ht="12.75" customHeight="1">
      <c r="A94" s="603">
        <f>+A93+1</f>
        <v>64</v>
      </c>
      <c r="B94" s="986" t="str">
        <f>""&amp;C$91*100&amp;"% Series - "&amp;C$92&amp;" - Monetary Value (Ln "&amp;A92&amp;" * Ln "&amp;A93&amp;")"</f>
        <v>0% Series -  - Monetary Value (Ln 62 * Ln 63)</v>
      </c>
      <c r="C94" s="985">
        <f>+C93*C92</f>
        <v>0</v>
      </c>
      <c r="D94" s="985">
        <f>+D93*D92</f>
        <v>0</v>
      </c>
      <c r="E94" s="1024">
        <f>IF(C94=D94=0,0,AVERAGE(C94:D94))</f>
        <v>0</v>
      </c>
      <c r="F94" s="999"/>
      <c r="G94" s="999"/>
    </row>
    <row r="95" spans="1:7" s="1000" customFormat="1" ht="12.75" customHeight="1">
      <c r="A95" s="603">
        <f>+A94+1</f>
        <v>65</v>
      </c>
      <c r="B95" s="986" t="str">
        <f>""&amp;C$91*100&amp;"% Series - "&amp;C$92&amp;" -  Dividend Amount (Ln "&amp;A91&amp;" * Ln "&amp;A94&amp;")"</f>
        <v>0% Series -  -  Dividend Amount (Ln 61 * Ln 64)</v>
      </c>
      <c r="C95" s="985">
        <f>+C94*C91</f>
        <v>0</v>
      </c>
      <c r="D95" s="985">
        <f>+D94*D91</f>
        <v>0</v>
      </c>
      <c r="E95" s="1024">
        <f>IF(C95=D95=0,0,AVERAGE(C95:D95))</f>
        <v>0</v>
      </c>
      <c r="F95" s="999"/>
      <c r="G95" s="999"/>
    </row>
    <row r="96" spans="1:7" s="1000" customFormat="1" ht="12.75" customHeight="1">
      <c r="A96" s="603"/>
      <c r="B96" s="986"/>
      <c r="C96" s="985"/>
      <c r="D96" s="985"/>
      <c r="E96" s="1024"/>
      <c r="F96" s="999"/>
      <c r="G96" s="999"/>
    </row>
    <row r="97" spans="1:7" s="1000" customFormat="1" ht="12.75" customHeight="1">
      <c r="A97" s="603">
        <f>+A95+1</f>
        <v>66</v>
      </c>
      <c r="B97" s="986" t="str">
        <f>""&amp;C$97*100&amp;"% Series - "&amp;C$98&amp;" - Dividend Rate (p. 250-251)"</f>
        <v>0% Series -  - Dividend Rate (p. 250-251)</v>
      </c>
      <c r="C97" s="1271"/>
      <c r="D97" s="1271"/>
      <c r="E97" s="1024"/>
      <c r="F97" s="999"/>
      <c r="G97" s="999"/>
    </row>
    <row r="98" spans="1:7" s="1000" customFormat="1" ht="12.75" customHeight="1">
      <c r="A98" s="603">
        <f>+A97+1</f>
        <v>67</v>
      </c>
      <c r="B98" s="986" t="str">
        <f>""&amp;C$97*100&amp;"% Series - "&amp;C$98&amp;" - Par Value (p. 250-251)"</f>
        <v>0% Series -  - Par Value (p. 250-251)</v>
      </c>
      <c r="C98" s="1272"/>
      <c r="D98" s="1272"/>
      <c r="E98" s="1024"/>
      <c r="F98" s="999"/>
      <c r="G98" s="999"/>
    </row>
    <row r="99" spans="1:7" s="1000" customFormat="1" ht="12.75" customHeight="1">
      <c r="A99" s="603">
        <f>+A98+1</f>
        <v>68</v>
      </c>
      <c r="B99" s="986" t="str">
        <f>""&amp;C$97*100&amp;"% Series - "&amp;C$98&amp;" - Shares O/S (p.250-251) "</f>
        <v>0% Series -  - Shares O/S (p.250-251) </v>
      </c>
      <c r="C99" s="1270"/>
      <c r="D99" s="1270"/>
      <c r="E99" s="1025"/>
      <c r="F99" s="999"/>
      <c r="G99" s="999"/>
    </row>
    <row r="100" spans="1:7" s="1000" customFormat="1" ht="12.75" customHeight="1">
      <c r="A100" s="603">
        <f>+A99+1</f>
        <v>69</v>
      </c>
      <c r="B100" s="986" t="str">
        <f>""&amp;C$97*100&amp;"% Series - "&amp;C$98&amp;" - Monetary Value (Ln "&amp;A98&amp;" * Ln "&amp;A99&amp;")"</f>
        <v>0% Series -  - Monetary Value (Ln 67 * Ln 68)</v>
      </c>
      <c r="C100" s="985">
        <f>+C99*C98</f>
        <v>0</v>
      </c>
      <c r="D100" s="985">
        <f>+D99*D98</f>
        <v>0</v>
      </c>
      <c r="E100" s="1024">
        <f>IF(C100=D100=0,0,AVERAGE(C100:D100))</f>
        <v>0</v>
      </c>
      <c r="F100" s="999"/>
      <c r="G100" s="999"/>
    </row>
    <row r="101" spans="1:7" s="1000" customFormat="1" ht="12.75" customHeight="1">
      <c r="A101" s="603">
        <f>+A100+1</f>
        <v>70</v>
      </c>
      <c r="B101" s="986" t="str">
        <f>""&amp;C$97*100&amp;"% Series - "&amp;C$98&amp;" -  Dividend Amount (Ln "&amp;A97&amp;" * Ln "&amp;A100&amp;")"</f>
        <v>0% Series -  -  Dividend Amount (Ln 66 * Ln 69)</v>
      </c>
      <c r="C101" s="985">
        <f>+C100*C97</f>
        <v>0</v>
      </c>
      <c r="D101" s="985">
        <f>+D100*D97</f>
        <v>0</v>
      </c>
      <c r="E101" s="1024">
        <f>IF(C101=D101=0,0,AVERAGE(C101:D101))</f>
        <v>0</v>
      </c>
      <c r="F101" s="999"/>
      <c r="G101" s="999"/>
    </row>
    <row r="102" spans="1:7" s="1000" customFormat="1" ht="12.75" customHeight="1">
      <c r="A102" s="603"/>
      <c r="B102" s="986"/>
      <c r="C102" s="985"/>
      <c r="D102" s="985"/>
      <c r="E102" s="999"/>
      <c r="F102" s="999"/>
      <c r="G102" s="999"/>
    </row>
    <row r="103" spans="1:7" s="1000" customFormat="1" ht="12.75" customHeight="1">
      <c r="A103" s="603">
        <f>+A101+1</f>
        <v>71</v>
      </c>
      <c r="B103" s="995" t="str">
        <f>"Balance of Preferred Stock (Lns "&amp;A88&amp;", "&amp;A94&amp;", "&amp;A100&amp;")"</f>
        <v>Balance of Preferred Stock (Lns 59, 64, 69)</v>
      </c>
      <c r="C103" s="985">
        <f>+C88+C94+C100</f>
        <v>0</v>
      </c>
      <c r="D103" s="985">
        <f>+D88+D94+D100</f>
        <v>0</v>
      </c>
      <c r="E103" s="1026">
        <f>+E88+E94+E100</f>
        <v>0</v>
      </c>
      <c r="F103" s="986" t="s">
        <v>315</v>
      </c>
      <c r="G103" s="999"/>
    </row>
    <row r="104" spans="1:7" s="1000" customFormat="1" ht="12.75" customHeight="1" thickBot="1">
      <c r="A104" s="603">
        <f>+A103+1</f>
        <v>72</v>
      </c>
      <c r="B104" s="995" t="str">
        <f>"Dividends on Preferred Stock (Lns "&amp;A89&amp;", "&amp;A95&amp;", "&amp;A101&amp;")"</f>
        <v>Dividends on Preferred Stock (Lns 60, 65, 70)</v>
      </c>
      <c r="C104" s="1027">
        <f>+C95+C89+C101</f>
        <v>0</v>
      </c>
      <c r="D104" s="1027">
        <f>+D95+D89+D101</f>
        <v>0</v>
      </c>
      <c r="E104" s="1028">
        <f>+E101+E95+E89</f>
        <v>0</v>
      </c>
      <c r="F104" s="999"/>
      <c r="G104" s="999"/>
    </row>
    <row r="105" spans="1:7" s="1000" customFormat="1" ht="12.75" customHeight="1" thickBot="1">
      <c r="A105" s="603">
        <f>+A104+1</f>
        <v>73</v>
      </c>
      <c r="B105" s="1029" t="str">
        <f>"Average Cost of Preferred Stock (Ln "&amp;A104&amp;"/"&amp;A103&amp;")"</f>
        <v>Average Cost of Preferred Stock (Ln 72/71)</v>
      </c>
      <c r="C105" s="993">
        <f>IF(C103=0,0,C104/C103)</f>
        <v>0</v>
      </c>
      <c r="D105" s="993">
        <f>IF(D103=0,0,D104/D103)</f>
        <v>0</v>
      </c>
      <c r="E105" s="997">
        <f>IF(E103=0,0,+E104/E103)</f>
        <v>0</v>
      </c>
      <c r="F105" s="999"/>
      <c r="G105" s="999"/>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80" zoomScaleSheetLayoutView="80" zoomScalePageLayoutView="0" workbookViewId="0" topLeftCell="A1">
      <selection activeCell="M51" sqref="M5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513" t="s">
        <v>389</v>
      </c>
      <c r="B1" s="1513"/>
      <c r="C1" s="1513"/>
      <c r="D1" s="1513"/>
      <c r="E1" s="1513"/>
      <c r="F1" s="1513"/>
      <c r="G1" s="1513"/>
      <c r="H1" s="1513"/>
      <c r="I1" s="1513"/>
      <c r="J1" s="1513"/>
      <c r="K1" s="1513"/>
      <c r="L1" s="1513"/>
      <c r="M1" s="1513"/>
      <c r="N1" s="1513"/>
      <c r="O1" s="1513"/>
    </row>
    <row r="2" spans="1:15" ht="18">
      <c r="A2" s="1512" t="str">
        <f>"Cost of Service Formula Rate Using Actual/Projected FF1 Balances"</f>
        <v>Cost of Service Formula Rate Using Actual/Projected FF1 Balances</v>
      </c>
      <c r="B2" s="1512"/>
      <c r="C2" s="1512"/>
      <c r="D2" s="1512"/>
      <c r="E2" s="1512"/>
      <c r="F2" s="1512"/>
      <c r="G2" s="1512"/>
      <c r="H2" s="1512"/>
      <c r="I2" s="1512"/>
      <c r="J2" s="1512"/>
      <c r="K2" s="1512"/>
      <c r="L2" s="1512"/>
      <c r="M2" s="1512"/>
      <c r="N2" s="1512"/>
      <c r="O2" s="1512"/>
    </row>
    <row r="3" spans="1:15" ht="18">
      <c r="A3" s="1512" t="s">
        <v>241</v>
      </c>
      <c r="B3" s="1512"/>
      <c r="C3" s="1512"/>
      <c r="D3" s="1512"/>
      <c r="E3" s="1512"/>
      <c r="F3" s="1512"/>
      <c r="G3" s="1512"/>
      <c r="H3" s="1512"/>
      <c r="I3" s="1512"/>
      <c r="J3" s="1512"/>
      <c r="K3" s="1512"/>
      <c r="L3" s="1512"/>
      <c r="M3" s="1512"/>
      <c r="N3" s="1512"/>
      <c r="O3" s="1512"/>
    </row>
    <row r="4" spans="1:15" ht="18">
      <c r="A4" s="1507" t="str">
        <f>+'I&amp;M TCOS'!F7</f>
        <v>INDIANA MICHIGAN POWER COMPANY</v>
      </c>
      <c r="B4" s="1507"/>
      <c r="C4" s="1507"/>
      <c r="D4" s="1507"/>
      <c r="E4" s="1507"/>
      <c r="F4" s="1507"/>
      <c r="G4" s="1507"/>
      <c r="H4" s="1507"/>
      <c r="I4" s="1507"/>
      <c r="J4" s="1507"/>
      <c r="K4" s="1507"/>
      <c r="L4" s="1507"/>
      <c r="M4" s="1507"/>
      <c r="N4" s="1507"/>
      <c r="O4" s="1507"/>
    </row>
    <row r="5" spans="1:12" ht="12.75" customHeight="1">
      <c r="A5" s="161"/>
      <c r="B5" s="161"/>
      <c r="C5" s="161"/>
      <c r="D5" s="161"/>
      <c r="E5" s="161"/>
      <c r="F5" s="161"/>
      <c r="G5" s="161"/>
      <c r="H5" s="161"/>
      <c r="I5" s="161"/>
      <c r="J5" s="161"/>
      <c r="K5" s="161"/>
      <c r="L5" s="161"/>
    </row>
    <row r="6" spans="1:15" ht="12.75" customHeight="1">
      <c r="A6" s="1538" t="s">
        <v>392</v>
      </c>
      <c r="B6" s="1538"/>
      <c r="C6" s="1538"/>
      <c r="D6" s="1538"/>
      <c r="E6" s="1538"/>
      <c r="F6" s="1538"/>
      <c r="G6" s="1538"/>
      <c r="H6" s="1538"/>
      <c r="I6" s="1538"/>
      <c r="J6" s="1538"/>
      <c r="K6" s="1538"/>
      <c r="L6" s="1538"/>
      <c r="M6" s="1538"/>
      <c r="N6" s="1538"/>
      <c r="O6" s="1538"/>
    </row>
    <row r="7" spans="1:15" ht="12.75" customHeight="1">
      <c r="A7" s="1538"/>
      <c r="B7" s="1538"/>
      <c r="C7" s="1538"/>
      <c r="D7" s="1538"/>
      <c r="E7" s="1538"/>
      <c r="F7" s="1538"/>
      <c r="G7" s="1538"/>
      <c r="H7" s="1538"/>
      <c r="I7" s="1538"/>
      <c r="J7" s="1538"/>
      <c r="K7" s="1538"/>
      <c r="L7" s="1538"/>
      <c r="M7" s="1538"/>
      <c r="N7" s="1538"/>
      <c r="O7" s="1538"/>
    </row>
    <row r="8" spans="1:15" ht="12.75">
      <c r="A8" s="1538"/>
      <c r="B8" s="1538"/>
      <c r="C8" s="1538"/>
      <c r="D8" s="1538"/>
      <c r="E8" s="1538"/>
      <c r="F8" s="1538"/>
      <c r="G8" s="1538"/>
      <c r="H8" s="1538"/>
      <c r="I8" s="1538"/>
      <c r="J8" s="1538"/>
      <c r="K8" s="1538"/>
      <c r="L8" s="1538"/>
      <c r="M8" s="1538"/>
      <c r="N8" s="1538"/>
      <c r="O8" s="1538"/>
    </row>
    <row r="9" spans="1:15" ht="12.75">
      <c r="A9" s="1538"/>
      <c r="B9" s="1538"/>
      <c r="C9" s="1538"/>
      <c r="D9" s="1538"/>
      <c r="E9" s="1538"/>
      <c r="F9" s="1538"/>
      <c r="G9" s="1538"/>
      <c r="H9" s="1538"/>
      <c r="I9" s="1538"/>
      <c r="J9" s="1538"/>
      <c r="K9" s="1538"/>
      <c r="L9" s="1538"/>
      <c r="M9" s="1538"/>
      <c r="N9" s="1538"/>
      <c r="O9" s="1538"/>
    </row>
    <row r="10" spans="2:21" ht="12.75">
      <c r="B10" s="1" t="s">
        <v>164</v>
      </c>
      <c r="C10" s="1"/>
      <c r="D10" s="1543" t="s">
        <v>165</v>
      </c>
      <c r="E10" s="1543"/>
      <c r="F10" s="1543"/>
      <c r="G10" s="1543"/>
      <c r="H10" s="1"/>
      <c r="I10" s="1" t="s">
        <v>4</v>
      </c>
      <c r="J10" s="1"/>
      <c r="K10" s="1" t="s">
        <v>167</v>
      </c>
      <c r="L10" s="1"/>
      <c r="M10" s="1" t="s">
        <v>85</v>
      </c>
      <c r="N10" s="1"/>
      <c r="O10" s="1" t="s">
        <v>86</v>
      </c>
      <c r="P10" s="1"/>
      <c r="Q10" s="1" t="s">
        <v>20</v>
      </c>
      <c r="R10" s="1"/>
      <c r="S10" s="1" t="s">
        <v>92</v>
      </c>
      <c r="T10" s="1"/>
      <c r="U10" s="96" t="s">
        <v>502</v>
      </c>
    </row>
    <row r="11" spans="9:21" ht="12.75">
      <c r="I11" s="1540" t="s">
        <v>18</v>
      </c>
      <c r="Q11" s="1539" t="s">
        <v>19</v>
      </c>
      <c r="S11" s="1540" t="s">
        <v>21</v>
      </c>
      <c r="U11" s="291" t="s">
        <v>81</v>
      </c>
    </row>
    <row r="12" spans="1:21" ht="12.75">
      <c r="A12" s="170" t="s">
        <v>17</v>
      </c>
      <c r="B12" s="170" t="s">
        <v>13</v>
      </c>
      <c r="C12" s="170"/>
      <c r="D12" s="214" t="s">
        <v>14</v>
      </c>
      <c r="E12" s="170"/>
      <c r="F12" s="170"/>
      <c r="G12" s="170"/>
      <c r="H12" s="170"/>
      <c r="I12" s="1542"/>
      <c r="J12" s="170"/>
      <c r="K12" s="170" t="s">
        <v>15</v>
      </c>
      <c r="L12" s="170"/>
      <c r="M12" s="170" t="s">
        <v>16</v>
      </c>
      <c r="N12" s="170"/>
      <c r="O12" s="170" t="s">
        <v>495</v>
      </c>
      <c r="Q12" s="1539"/>
      <c r="S12" s="1540"/>
      <c r="U12" s="291" t="s">
        <v>308</v>
      </c>
    </row>
    <row r="13" spans="1:19" ht="12.75">
      <c r="A13" s="170"/>
      <c r="B13" s="170"/>
      <c r="C13" s="170"/>
      <c r="D13" s="214"/>
      <c r="E13" s="170"/>
      <c r="F13" s="170"/>
      <c r="G13" s="170"/>
      <c r="H13" s="170"/>
      <c r="I13" s="3" t="s">
        <v>493</v>
      </c>
      <c r="J13" s="170"/>
      <c r="K13" s="170"/>
      <c r="L13" s="170"/>
      <c r="M13" s="170"/>
      <c r="N13" s="170"/>
      <c r="O13" s="170"/>
      <c r="Q13" s="243"/>
      <c r="S13" s="170" t="s">
        <v>495</v>
      </c>
    </row>
    <row r="14" ht="12.75">
      <c r="I14" t="s">
        <v>494</v>
      </c>
    </row>
    <row r="15" spans="1:21" ht="12.75">
      <c r="A15" s="1">
        <v>1</v>
      </c>
      <c r="B15" s="865"/>
      <c r="D15" s="1541"/>
      <c r="E15" s="1541"/>
      <c r="F15" s="1541"/>
      <c r="G15" s="1541"/>
      <c r="I15" s="866"/>
      <c r="K15" s="864"/>
      <c r="L15" s="133"/>
      <c r="M15" s="864"/>
      <c r="O15" s="179">
        <f>+K15-M15</f>
        <v>0</v>
      </c>
      <c r="Q15" s="229">
        <f>IF(I15="G",'I&amp;M TCOS'!L239,IF(I15="T",1,0))</f>
        <v>0</v>
      </c>
      <c r="S15" s="179">
        <f>ROUND(O15*Q15,0)</f>
        <v>0</v>
      </c>
      <c r="U15" s="867"/>
    </row>
    <row r="16" spans="1:19" ht="12.75">
      <c r="A16" s="1"/>
      <c r="D16" s="1541"/>
      <c r="E16" s="1541"/>
      <c r="F16" s="1541"/>
      <c r="G16" s="1541"/>
      <c r="K16" s="133"/>
      <c r="L16" s="133"/>
      <c r="M16" s="133"/>
      <c r="O16" s="133"/>
      <c r="Q16" s="229"/>
      <c r="S16" s="133"/>
    </row>
    <row r="17" spans="1:19" ht="12.75">
      <c r="A17" s="1"/>
      <c r="D17" s="1541"/>
      <c r="E17" s="1541"/>
      <c r="F17" s="1541"/>
      <c r="G17" s="1541"/>
      <c r="K17" s="133"/>
      <c r="L17" s="133"/>
      <c r="M17" s="133"/>
      <c r="O17" s="133"/>
      <c r="Q17" s="229"/>
      <c r="S17" s="133"/>
    </row>
    <row r="18" spans="1:19" ht="12.75">
      <c r="A18" s="1"/>
      <c r="K18" s="133"/>
      <c r="L18" s="133"/>
      <c r="M18" s="133"/>
      <c r="O18" s="133"/>
      <c r="Q18" s="229"/>
      <c r="S18" s="133"/>
    </row>
    <row r="19" spans="1:19" ht="12.75">
      <c r="A19" s="1"/>
      <c r="K19" s="133"/>
      <c r="L19" s="133"/>
      <c r="M19" s="133"/>
      <c r="O19" s="133"/>
      <c r="Q19" s="229"/>
      <c r="S19" s="133"/>
    </row>
    <row r="20" spans="1:21" ht="12" customHeight="1">
      <c r="A20" s="1">
        <f>+A15+1</f>
        <v>2</v>
      </c>
      <c r="B20" s="865"/>
      <c r="D20" s="1541"/>
      <c r="E20" s="1541"/>
      <c r="F20" s="1541"/>
      <c r="G20" s="1541"/>
      <c r="I20" s="866"/>
      <c r="K20" s="864"/>
      <c r="L20" s="133"/>
      <c r="M20" s="864"/>
      <c r="O20" s="179">
        <f>+K20-M20</f>
        <v>0</v>
      </c>
      <c r="Q20" s="229">
        <f>IF(I20="G",'I&amp;M TCOS'!L239,IF(I20="T",1,0))</f>
        <v>0</v>
      </c>
      <c r="S20" s="179">
        <f>ROUND(O20*Q20,0)</f>
        <v>0</v>
      </c>
      <c r="U20" s="867"/>
    </row>
    <row r="21" spans="1:19" ht="12.75">
      <c r="A21" s="1"/>
      <c r="D21" s="1541"/>
      <c r="E21" s="1541"/>
      <c r="F21" s="1541"/>
      <c r="G21" s="1541"/>
      <c r="K21" s="133"/>
      <c r="L21" s="133"/>
      <c r="M21" s="133"/>
      <c r="O21" s="133"/>
      <c r="Q21" s="229"/>
      <c r="S21" s="133"/>
    </row>
    <row r="22" spans="1:19" ht="12.75">
      <c r="A22" s="1"/>
      <c r="D22" s="1541"/>
      <c r="E22" s="1541"/>
      <c r="F22" s="1541"/>
      <c r="G22" s="1541"/>
      <c r="K22" s="133"/>
      <c r="L22" s="133"/>
      <c r="M22" s="133"/>
      <c r="O22" s="133"/>
      <c r="Q22" s="229"/>
      <c r="S22" s="133"/>
    </row>
    <row r="23" spans="1:19" ht="12.75">
      <c r="A23" s="1"/>
      <c r="I23" s="1"/>
      <c r="K23" s="133"/>
      <c r="L23" s="133"/>
      <c r="M23" s="133"/>
      <c r="O23" s="133"/>
      <c r="Q23" s="229"/>
      <c r="S23" s="133"/>
    </row>
    <row r="24" spans="1:19" ht="12.75">
      <c r="A24" s="1"/>
      <c r="I24" s="1"/>
      <c r="K24" s="133"/>
      <c r="L24" s="133"/>
      <c r="M24" s="133"/>
      <c r="O24" s="133"/>
      <c r="Q24" s="229"/>
      <c r="S24" s="133"/>
    </row>
    <row r="25" spans="1:21" ht="12.75">
      <c r="A25" s="1">
        <f>+A20+1</f>
        <v>3</v>
      </c>
      <c r="B25" s="865"/>
      <c r="D25" s="1541"/>
      <c r="E25" s="1541"/>
      <c r="F25" s="1541"/>
      <c r="G25" s="1541"/>
      <c r="I25" s="866"/>
      <c r="K25" s="864"/>
      <c r="L25" s="133"/>
      <c r="M25" s="864"/>
      <c r="O25" s="179">
        <f>+K25-M25</f>
        <v>0</v>
      </c>
      <c r="Q25" s="229">
        <f>IF(I25="G",'I&amp;M TCOS'!L239,IF(I25="T",1,0))</f>
        <v>0</v>
      </c>
      <c r="S25" s="179">
        <f>ROUND(O25*Q25,0)</f>
        <v>0</v>
      </c>
      <c r="U25" s="867"/>
    </row>
    <row r="26" spans="1:19" ht="12.75">
      <c r="A26" s="1"/>
      <c r="D26" s="1541"/>
      <c r="E26" s="1541"/>
      <c r="F26" s="1541"/>
      <c r="G26" s="1541"/>
      <c r="K26" s="133"/>
      <c r="L26" s="133"/>
      <c r="M26" s="133"/>
      <c r="O26" s="133"/>
      <c r="Q26" s="229"/>
      <c r="S26" s="133"/>
    </row>
    <row r="27" spans="1:17" ht="12.75">
      <c r="A27" s="1"/>
      <c r="D27" s="1541"/>
      <c r="E27" s="1541"/>
      <c r="F27" s="1541"/>
      <c r="G27" s="1541"/>
      <c r="K27" s="133"/>
      <c r="L27" s="133"/>
      <c r="M27" s="133"/>
      <c r="O27" s="133"/>
      <c r="Q27" s="229"/>
    </row>
    <row r="28" spans="1:17" ht="12.75">
      <c r="A28" s="1"/>
      <c r="O28" s="133"/>
      <c r="Q28" s="229"/>
    </row>
    <row r="29" spans="1:17" ht="12.75">
      <c r="A29" s="1"/>
      <c r="O29" s="133"/>
      <c r="Q29" s="229"/>
    </row>
    <row r="30" spans="1:17" ht="12.75">
      <c r="A30" s="1"/>
      <c r="O30" s="133"/>
      <c r="Q30" s="229"/>
    </row>
    <row r="31" spans="1:19" ht="13.5" thickBot="1">
      <c r="A31" s="1">
        <f>+A25+1</f>
        <v>4</v>
      </c>
      <c r="K31" t="str">
        <f>"Net (Gain) or Loss for "&amp;'I&amp;M TCOS'!L2&amp;""</f>
        <v>Net (Gain) or Loss for 2017</v>
      </c>
      <c r="O31" s="241">
        <f>SUM(O15:O25)</f>
        <v>0</v>
      </c>
      <c r="Q31" s="242"/>
      <c r="S31" s="241">
        <f>SUM(S15:S25)</f>
        <v>0</v>
      </c>
    </row>
    <row r="32" spans="1:17" ht="13.5" thickTop="1">
      <c r="A32" s="1"/>
      <c r="O32" s="133"/>
      <c r="Q32" s="242"/>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Normal="75" zoomScaleSheetLayoutView="100" zoomScalePageLayoutView="0" workbookViewId="0" topLeftCell="A1">
      <selection activeCell="F22" sqref="F22:F27"/>
    </sheetView>
  </sheetViews>
  <sheetFormatPr defaultColWidth="9.140625" defaultRowHeight="12.75"/>
  <cols>
    <col min="1" max="1" width="8.140625" style="1155" customWidth="1"/>
    <col min="2" max="2" width="28.8515625" style="1155" customWidth="1"/>
    <col min="3" max="3" width="17.8515625" style="1155" customWidth="1"/>
    <col min="4" max="4" width="19.28125" style="1155" customWidth="1"/>
    <col min="5" max="6" width="19.8515625" style="1155" customWidth="1"/>
    <col min="7" max="7" width="21.421875" style="1155" customWidth="1"/>
    <col min="8" max="9" width="19.8515625" style="1155" customWidth="1"/>
    <col min="10" max="10" width="21.28125" style="1155" customWidth="1"/>
    <col min="11" max="11" width="18.140625" style="1155" customWidth="1"/>
    <col min="12" max="12" width="22.421875" style="1155" customWidth="1"/>
    <col min="13" max="13" width="22.140625" style="1155" customWidth="1"/>
    <col min="14" max="14" width="11.140625" style="1155" customWidth="1"/>
    <col min="15" max="15" width="11.28125" style="1155" bestFit="1" customWidth="1"/>
    <col min="16" max="16" width="12.421875" style="1155" customWidth="1"/>
    <col min="17" max="17" width="9.140625" style="1155" customWidth="1"/>
    <col min="18" max="18" width="10.28125" style="1155" bestFit="1" customWidth="1"/>
    <col min="19" max="19" width="9.140625" style="1155" customWidth="1"/>
    <col min="20" max="20" width="12.8515625" style="1155" customWidth="1"/>
    <col min="21" max="21" width="13.57421875" style="1155" customWidth="1"/>
    <col min="22" max="16384" width="9.140625" style="1155" customWidth="1"/>
  </cols>
  <sheetData>
    <row r="1" ht="15.75">
      <c r="A1" s="1154" t="s">
        <v>618</v>
      </c>
    </row>
    <row r="2" ht="15.75">
      <c r="A2" s="1154" t="s">
        <v>619</v>
      </c>
    </row>
    <row r="3" spans="1:17" ht="15.75">
      <c r="A3" s="1549" t="s">
        <v>389</v>
      </c>
      <c r="B3" s="1549"/>
      <c r="C3" s="1549"/>
      <c r="D3" s="1549"/>
      <c r="E3" s="1549"/>
      <c r="F3" s="1549"/>
      <c r="G3" s="1549"/>
      <c r="H3" s="1549"/>
      <c r="I3" s="1549"/>
      <c r="J3" s="1549"/>
      <c r="K3" s="1549"/>
      <c r="L3" s="1156"/>
      <c r="M3" s="1156"/>
      <c r="N3" s="1157"/>
      <c r="O3" s="1157"/>
      <c r="P3" s="1157"/>
      <c r="Q3" s="1157"/>
    </row>
    <row r="4" spans="1:17" ht="15.75">
      <c r="A4" s="1550" t="str">
        <f>"Cost of Service Formula Rate Using Actual/Projected FF1 Balances"</f>
        <v>Cost of Service Formula Rate Using Actual/Projected FF1 Balances</v>
      </c>
      <c r="B4" s="1551"/>
      <c r="C4" s="1551"/>
      <c r="D4" s="1551"/>
      <c r="E4" s="1551"/>
      <c r="F4" s="1551"/>
      <c r="G4" s="1551"/>
      <c r="H4" s="1551"/>
      <c r="I4" s="1551"/>
      <c r="J4" s="1551"/>
      <c r="K4" s="1551"/>
      <c r="L4" s="1158"/>
      <c r="M4" s="1160"/>
      <c r="N4" s="1161"/>
      <c r="O4" s="1161"/>
      <c r="P4" s="1161"/>
      <c r="Q4" s="1161"/>
    </row>
    <row r="5" spans="1:17" ht="15.75">
      <c r="A5" s="1552" t="s">
        <v>799</v>
      </c>
      <c r="B5" s="1552"/>
      <c r="C5" s="1552"/>
      <c r="D5" s="1552"/>
      <c r="E5" s="1552"/>
      <c r="F5" s="1552"/>
      <c r="G5" s="1552"/>
      <c r="H5" s="1552"/>
      <c r="I5" s="1552"/>
      <c r="J5" s="1552"/>
      <c r="K5" s="1552"/>
      <c r="L5" s="1158"/>
      <c r="M5" s="1162"/>
      <c r="N5" s="1162"/>
      <c r="O5" s="1162"/>
      <c r="P5" s="1162"/>
      <c r="Q5" s="1162"/>
    </row>
    <row r="6" spans="1:17" ht="15.75">
      <c r="A6" s="1553" t="str">
        <f>'I&amp;M TCOS'!F7</f>
        <v>INDIANA MICHIGAN POWER COMPANY</v>
      </c>
      <c r="B6" s="1553"/>
      <c r="C6" s="1553"/>
      <c r="D6" s="1553"/>
      <c r="E6" s="1553"/>
      <c r="F6" s="1553"/>
      <c r="G6" s="1553"/>
      <c r="H6" s="1553"/>
      <c r="I6" s="1553"/>
      <c r="J6" s="1553"/>
      <c r="K6" s="1553"/>
      <c r="L6" s="1163"/>
      <c r="M6" s="1163"/>
      <c r="N6" s="1164"/>
      <c r="O6" s="1164"/>
      <c r="P6" s="1164"/>
      <c r="Q6" s="1164"/>
    </row>
    <row r="9" spans="2:17" ht="12.75">
      <c r="B9" s="1546"/>
      <c r="C9" s="1546"/>
      <c r="D9" s="1546"/>
      <c r="E9" s="1546"/>
      <c r="F9" s="1546"/>
      <c r="G9" s="1546"/>
      <c r="H9" s="1546"/>
      <c r="I9" s="1546"/>
      <c r="J9" s="1546"/>
      <c r="K9" s="1546"/>
      <c r="L9" s="1546"/>
      <c r="M9" s="1546"/>
      <c r="N9" s="1166"/>
      <c r="O9" s="1166"/>
      <c r="P9" s="1166"/>
      <c r="Q9" s="1166"/>
    </row>
    <row r="10" spans="9:17" ht="12.75">
      <c r="I10" s="1166"/>
      <c r="J10" s="1166"/>
      <c r="K10" s="1166"/>
      <c r="L10" s="1166"/>
      <c r="M10" s="1166"/>
      <c r="N10" s="1166"/>
      <c r="O10" s="1166"/>
      <c r="P10" s="1166"/>
      <c r="Q10" s="1166"/>
    </row>
    <row r="11" spans="9:17" ht="12.75">
      <c r="I11" s="1166"/>
      <c r="J11" s="1166"/>
      <c r="K11" s="1166"/>
      <c r="L11" s="1166"/>
      <c r="M11" s="1166"/>
      <c r="N11" s="1166"/>
      <c r="O11" s="1166"/>
      <c r="P11" s="1166"/>
      <c r="Q11" s="1166"/>
    </row>
    <row r="12" spans="1:17" ht="12.75">
      <c r="A12" s="1159">
        <v>1</v>
      </c>
      <c r="B12" s="1155" t="s">
        <v>773</v>
      </c>
      <c r="E12" s="1175">
        <v>-127041505</v>
      </c>
      <c r="I12" s="1180"/>
      <c r="J12" s="1166"/>
      <c r="K12" s="1166"/>
      <c r="L12" s="1166"/>
      <c r="M12" s="1166"/>
      <c r="N12" s="1166"/>
      <c r="O12" s="1166"/>
      <c r="P12" s="1166"/>
      <c r="Q12" s="1166"/>
    </row>
    <row r="13" spans="9:17" ht="12.75">
      <c r="I13" s="1180"/>
      <c r="J13" s="1166"/>
      <c r="K13" s="1166"/>
      <c r="L13" s="1166"/>
      <c r="M13" s="1166"/>
      <c r="N13" s="1166"/>
      <c r="O13" s="1166"/>
      <c r="P13" s="1166"/>
      <c r="Q13" s="1166"/>
    </row>
    <row r="14" spans="2:17" ht="12.75">
      <c r="B14" s="1554" t="str">
        <f>"Allocation of PBOP Settlement Amount for "&amp;'I&amp;M TCOS'!L2&amp;""</f>
        <v>Allocation of PBOP Settlement Amount for 2017</v>
      </c>
      <c r="C14" s="1554"/>
      <c r="D14" s="1167"/>
      <c r="E14" s="1167"/>
      <c r="F14" s="1167"/>
      <c r="G14" s="1167"/>
      <c r="H14" s="1167"/>
      <c r="I14" s="1167"/>
      <c r="J14" s="1167"/>
      <c r="K14" s="1167"/>
      <c r="L14" s="1167"/>
      <c r="M14" s="1167"/>
      <c r="N14" s="1166"/>
      <c r="O14" s="1166"/>
      <c r="P14" s="1166"/>
      <c r="Q14" s="1166"/>
    </row>
    <row r="15" spans="3:17" ht="12.75">
      <c r="C15" s="1546" t="s">
        <v>774</v>
      </c>
      <c r="D15" s="1546"/>
      <c r="E15" s="1546"/>
      <c r="F15" s="1165"/>
      <c r="N15" s="1166"/>
      <c r="O15" s="1166"/>
      <c r="P15" s="1166"/>
      <c r="Q15" s="1166"/>
    </row>
    <row r="16" spans="2:17" ht="12.75">
      <c r="B16" s="1180"/>
      <c r="C16" s="1547" t="s">
        <v>775</v>
      </c>
      <c r="D16" s="1547" t="s">
        <v>776</v>
      </c>
      <c r="E16" s="1547" t="s">
        <v>777</v>
      </c>
      <c r="F16" s="1196"/>
      <c r="G16" s="1196"/>
      <c r="H16" s="1196"/>
      <c r="I16" s="1547" t="s">
        <v>778</v>
      </c>
      <c r="N16" s="1166"/>
      <c r="O16" s="1166"/>
      <c r="P16" s="1166"/>
      <c r="Q16" s="1166"/>
    </row>
    <row r="17" spans="3:17" ht="12.75" customHeight="1">
      <c r="C17" s="1544"/>
      <c r="D17" s="1544"/>
      <c r="E17" s="1544"/>
      <c r="F17" s="1547" t="str">
        <f>"Labor Allocator for "&amp;'I&amp;M TCOS'!L2&amp;""</f>
        <v>Labor Allocator for 2017</v>
      </c>
      <c r="G17" s="1199"/>
      <c r="H17" s="1548" t="s">
        <v>779</v>
      </c>
      <c r="I17" s="1547"/>
      <c r="N17" s="1166"/>
      <c r="O17" s="1166"/>
      <c r="P17" s="1166"/>
      <c r="Q17" s="1166"/>
    </row>
    <row r="18" spans="1:17" ht="12.75">
      <c r="A18" s="1168" t="s">
        <v>780</v>
      </c>
      <c r="B18" s="1165" t="s">
        <v>185</v>
      </c>
      <c r="C18" s="1544"/>
      <c r="D18" s="1544"/>
      <c r="E18" s="1544"/>
      <c r="F18" s="1547"/>
      <c r="G18" s="1201" t="s">
        <v>781</v>
      </c>
      <c r="H18" s="1548"/>
      <c r="I18" s="1547"/>
      <c r="N18" s="1166"/>
      <c r="O18" s="1166"/>
      <c r="P18" s="1166"/>
      <c r="Q18" s="1166"/>
    </row>
    <row r="19" spans="2:17" ht="12.75">
      <c r="B19" s="1165"/>
      <c r="C19" s="1179"/>
      <c r="D19" s="1179"/>
      <c r="E19" s="1179"/>
      <c r="F19" s="1196"/>
      <c r="G19" s="1199"/>
      <c r="H19" s="1199"/>
      <c r="I19" s="1179"/>
      <c r="N19" s="1166"/>
      <c r="O19" s="1166"/>
      <c r="P19" s="1166"/>
      <c r="Q19" s="1166"/>
    </row>
    <row r="20" spans="2:17" ht="25.5">
      <c r="B20" s="1165"/>
      <c r="C20" s="1196" t="s">
        <v>164</v>
      </c>
      <c r="D20" s="1196" t="s">
        <v>782</v>
      </c>
      <c r="E20" s="1197" t="str">
        <f>"(C )=(B) * "&amp;E12&amp;""</f>
        <v>(C )=(B) * -127041505</v>
      </c>
      <c r="F20" s="1196" t="s">
        <v>167</v>
      </c>
      <c r="G20" s="1202" t="s">
        <v>783</v>
      </c>
      <c r="H20" s="1202" t="s">
        <v>784</v>
      </c>
      <c r="I20" s="1197" t="s">
        <v>785</v>
      </c>
      <c r="N20" s="1166"/>
      <c r="O20" s="1166"/>
      <c r="P20" s="1166"/>
      <c r="Q20" s="1166"/>
    </row>
    <row r="21" spans="2:17" ht="12.75">
      <c r="B21" s="1165"/>
      <c r="C21" s="1196" t="str">
        <f>"(Line "&amp;A47&amp;")"</f>
        <v>(Line 14)</v>
      </c>
      <c r="D21" s="1196"/>
      <c r="E21" s="1197"/>
      <c r="F21" s="1196"/>
      <c r="G21" s="1199"/>
      <c r="H21" s="1200"/>
      <c r="I21" s="1197"/>
      <c r="N21" s="1166"/>
      <c r="O21" s="1166"/>
      <c r="P21" s="1166"/>
      <c r="Q21" s="1166"/>
    </row>
    <row r="22" spans="1:17" ht="12.75">
      <c r="A22" s="1155">
        <v>2</v>
      </c>
      <c r="B22" s="1155" t="s">
        <v>786</v>
      </c>
      <c r="C22" s="1175">
        <f>D47</f>
        <v>-10786933.8</v>
      </c>
      <c r="D22" s="1203">
        <f aca="true" t="shared" si="0" ref="D22:D27">+C22/C$28</f>
        <v>0.35951620285912267</v>
      </c>
      <c r="E22" s="1178">
        <f aca="true" t="shared" si="1" ref="E22:E27">ROUND(D22*E$28,0)</f>
        <v>-45673479</v>
      </c>
      <c r="F22" s="1204">
        <v>0.08501292438500355</v>
      </c>
      <c r="G22" s="1199">
        <f aca="true" t="shared" si="2" ref="G22:G27">+C22*F22</f>
        <v>-917028.787485439</v>
      </c>
      <c r="H22" s="1199">
        <f aca="true" t="shared" si="3" ref="H22:H27">+F22*E22</f>
        <v>-3882836.016627047</v>
      </c>
      <c r="I22" s="1178">
        <f aca="true" t="shared" si="4" ref="I22:I27">+G22-H22</f>
        <v>2965807.2291416083</v>
      </c>
      <c r="N22" s="1166"/>
      <c r="O22" s="1166"/>
      <c r="P22" s="1166"/>
      <c r="Q22" s="1166"/>
    </row>
    <row r="23" spans="1:17" ht="12.75">
      <c r="A23" s="1155">
        <f aca="true" t="shared" si="5" ref="A23:A28">+A22+1</f>
        <v>3</v>
      </c>
      <c r="B23" s="1155" t="s">
        <v>787</v>
      </c>
      <c r="C23" s="1175">
        <f>F47</f>
        <v>-8341368.98</v>
      </c>
      <c r="D23" s="1203">
        <f t="shared" si="0"/>
        <v>0.2780083161664043</v>
      </c>
      <c r="E23" s="1178">
        <f t="shared" si="1"/>
        <v>-35318595</v>
      </c>
      <c r="F23" s="1204">
        <v>0.0387529968261521</v>
      </c>
      <c r="G23" s="1199">
        <f t="shared" si="2"/>
        <v>-323253.0456077036</v>
      </c>
      <c r="H23" s="1199">
        <f t="shared" si="3"/>
        <v>-1368701.3999391515</v>
      </c>
      <c r="I23" s="1178">
        <f t="shared" si="4"/>
        <v>1045448.3543314479</v>
      </c>
      <c r="N23" s="1166"/>
      <c r="O23" s="1166"/>
      <c r="P23" s="1166"/>
      <c r="Q23" s="1166"/>
    </row>
    <row r="24" spans="1:17" ht="12.75">
      <c r="A24" s="1155">
        <f t="shared" si="5"/>
        <v>4</v>
      </c>
      <c r="B24" s="1155" t="s">
        <v>788</v>
      </c>
      <c r="C24" s="1175">
        <f>G47</f>
        <v>-2497070</v>
      </c>
      <c r="D24" s="1203">
        <f t="shared" si="0"/>
        <v>0.08322449560907005</v>
      </c>
      <c r="E24" s="1178">
        <f t="shared" si="1"/>
        <v>-10572965</v>
      </c>
      <c r="F24" s="1204">
        <v>0.0739041854955398</v>
      </c>
      <c r="G24" s="1199">
        <f t="shared" si="2"/>
        <v>-184543.92447534757</v>
      </c>
      <c r="H24" s="1199">
        <f t="shared" si="3"/>
        <v>-781386.36659785</v>
      </c>
      <c r="I24" s="1178">
        <f t="shared" si="4"/>
        <v>596842.4421225025</v>
      </c>
      <c r="N24" s="1166"/>
      <c r="O24" s="1166"/>
      <c r="P24" s="1166"/>
      <c r="Q24" s="1166"/>
    </row>
    <row r="25" spans="1:17" ht="12.75">
      <c r="A25" s="1155">
        <f t="shared" si="5"/>
        <v>5</v>
      </c>
      <c r="B25" s="1155" t="s">
        <v>789</v>
      </c>
      <c r="C25" s="1175">
        <f>H47</f>
        <v>-238736.16</v>
      </c>
      <c r="D25" s="1203">
        <f t="shared" si="0"/>
        <v>0.007956803974116163</v>
      </c>
      <c r="E25" s="1178">
        <f t="shared" si="1"/>
        <v>-1010844</v>
      </c>
      <c r="F25" s="1204">
        <v>0.10504889905404449</v>
      </c>
      <c r="G25" s="1199">
        <f t="shared" si="2"/>
        <v>-25078.970772390214</v>
      </c>
      <c r="H25" s="1199">
        <f t="shared" si="3"/>
        <v>-106188.04931538655</v>
      </c>
      <c r="I25" s="1178">
        <f t="shared" si="4"/>
        <v>81109.07854299634</v>
      </c>
      <c r="N25" s="1166"/>
      <c r="O25" s="1166"/>
      <c r="P25" s="1166"/>
      <c r="Q25" s="1166"/>
    </row>
    <row r="26" spans="1:17" ht="12.75">
      <c r="A26" s="1155">
        <f t="shared" si="5"/>
        <v>6</v>
      </c>
      <c r="B26" s="1155" t="s">
        <v>790</v>
      </c>
      <c r="C26" s="1175">
        <f>I47</f>
        <v>-7704845.649999999</v>
      </c>
      <c r="D26" s="1203">
        <f t="shared" si="0"/>
        <v>0.2567937194259622</v>
      </c>
      <c r="E26" s="1178">
        <f t="shared" si="1"/>
        <v>-32623461</v>
      </c>
      <c r="F26" s="1204">
        <v>0.11589645700486424</v>
      </c>
      <c r="G26" s="1199">
        <f t="shared" si="2"/>
        <v>-892964.3126043403</v>
      </c>
      <c r="H26" s="1199">
        <f t="shared" si="3"/>
        <v>-3780943.5451363656</v>
      </c>
      <c r="I26" s="1178">
        <f t="shared" si="4"/>
        <v>2887979.2325320253</v>
      </c>
      <c r="N26" s="1166"/>
      <c r="O26" s="1166"/>
      <c r="P26" s="1166"/>
      <c r="Q26" s="1166"/>
    </row>
    <row r="27" spans="1:17" ht="12.75">
      <c r="A27" s="1155">
        <f t="shared" si="5"/>
        <v>7</v>
      </c>
      <c r="B27" s="1155" t="s">
        <v>791</v>
      </c>
      <c r="C27" s="1257">
        <f>J47</f>
        <v>-435072.25</v>
      </c>
      <c r="D27" s="1203">
        <f t="shared" si="0"/>
        <v>0.014500461965324651</v>
      </c>
      <c r="E27" s="1205">
        <f t="shared" si="1"/>
        <v>-1842161</v>
      </c>
      <c r="F27" s="1204">
        <v>0.02528816980461099</v>
      </c>
      <c r="G27" s="1206">
        <f t="shared" si="2"/>
        <v>-11002.180935274164</v>
      </c>
      <c r="H27" s="1206">
        <f t="shared" si="3"/>
        <v>-46584.88017543199</v>
      </c>
      <c r="I27" s="1205">
        <f t="shared" si="4"/>
        <v>35582.699240157825</v>
      </c>
      <c r="N27" s="1166"/>
      <c r="O27" s="1166"/>
      <c r="P27" s="1166"/>
      <c r="Q27" s="1166"/>
    </row>
    <row r="28" spans="1:17" ht="12.75">
      <c r="A28" s="1155">
        <f t="shared" si="5"/>
        <v>8</v>
      </c>
      <c r="B28" s="1165" t="str">
        <f>"Sum of Lines "&amp;A22&amp;" to "&amp;A27&amp;""</f>
        <v>Sum of Lines 2 to 7</v>
      </c>
      <c r="C28" s="1178">
        <f>SUM(C22:C27)</f>
        <v>-30004026.84</v>
      </c>
      <c r="E28" s="1199">
        <f>+E12</f>
        <v>-127041505</v>
      </c>
      <c r="F28" s="1199"/>
      <c r="G28" s="1199">
        <f>SUM(G22:G27)</f>
        <v>-2353871.221880495</v>
      </c>
      <c r="H28" s="1199">
        <f>SUM(H22:H27)</f>
        <v>-9966640.257791232</v>
      </c>
      <c r="I28" s="1199">
        <f>SUM(I22:I27)</f>
        <v>7612769.035910738</v>
      </c>
      <c r="N28" s="1166"/>
      <c r="O28" s="1166"/>
      <c r="P28" s="1166"/>
      <c r="Q28" s="1166"/>
    </row>
    <row r="29" spans="3:17" ht="12.75">
      <c r="C29" s="1178"/>
      <c r="N29" s="1166"/>
      <c r="O29" s="1166"/>
      <c r="P29" s="1166"/>
      <c r="Q29" s="1166"/>
    </row>
    <row r="30" spans="9:17" ht="12.75">
      <c r="I30" s="1180"/>
      <c r="N30" s="1166"/>
      <c r="O30" s="1166"/>
      <c r="P30" s="1166"/>
      <c r="Q30" s="1166"/>
    </row>
    <row r="31" spans="9:17" ht="12.75">
      <c r="I31" s="1180"/>
      <c r="J31" s="1166"/>
      <c r="K31" s="1166"/>
      <c r="L31" s="1166"/>
      <c r="M31" s="1166"/>
      <c r="N31" s="1166"/>
      <c r="O31" s="1166"/>
      <c r="P31" s="1166"/>
      <c r="Q31" s="1166"/>
    </row>
    <row r="32" spans="9:17" ht="12.75">
      <c r="I32" s="1180"/>
      <c r="J32" s="1166"/>
      <c r="K32" s="1166"/>
      <c r="L32" s="1166"/>
      <c r="M32" s="1166"/>
      <c r="N32" s="1166"/>
      <c r="O32" s="1166"/>
      <c r="P32" s="1166"/>
      <c r="Q32" s="1166"/>
    </row>
    <row r="33" spans="2:17" ht="12.75">
      <c r="B33" s="1168" t="s">
        <v>800</v>
      </c>
      <c r="F33" s="1169"/>
      <c r="I33" s="1180"/>
      <c r="J33" s="1166"/>
      <c r="K33" s="1166"/>
      <c r="L33" s="1166"/>
      <c r="M33" s="1166"/>
      <c r="N33" s="1166"/>
      <c r="O33" s="1166"/>
      <c r="P33" s="1166"/>
      <c r="Q33" s="1166"/>
    </row>
    <row r="34" spans="5:17" ht="12.75">
      <c r="E34" s="1169"/>
      <c r="I34" s="1170"/>
      <c r="J34" s="1166"/>
      <c r="K34" s="1166"/>
      <c r="L34" s="1166"/>
      <c r="M34" s="1166"/>
      <c r="N34" s="1166"/>
      <c r="O34" s="1166"/>
      <c r="P34" s="1166"/>
      <c r="Q34" s="1166"/>
    </row>
    <row r="35" spans="4:17" ht="12.75">
      <c r="D35" s="1171" t="s">
        <v>786</v>
      </c>
      <c r="E35" s="1172"/>
      <c r="F35" s="1171" t="s">
        <v>787</v>
      </c>
      <c r="G35" s="1171" t="s">
        <v>788</v>
      </c>
      <c r="H35" s="1171" t="s">
        <v>792</v>
      </c>
      <c r="I35" s="1173" t="s">
        <v>790</v>
      </c>
      <c r="J35" s="1173" t="s">
        <v>791</v>
      </c>
      <c r="K35" s="1173" t="s">
        <v>793</v>
      </c>
      <c r="L35" s="1166"/>
      <c r="M35" s="1166"/>
      <c r="N35" s="1166"/>
      <c r="O35" s="1166"/>
      <c r="P35" s="1166"/>
      <c r="Q35" s="1166"/>
    </row>
    <row r="36" spans="5:17" ht="12.75">
      <c r="E36" s="1174"/>
      <c r="I36" s="1166"/>
      <c r="J36" s="1166"/>
      <c r="K36" s="1166"/>
      <c r="L36" s="1166"/>
      <c r="M36" s="1166"/>
      <c r="N36" s="1166"/>
      <c r="O36" s="1166"/>
      <c r="P36" s="1166"/>
      <c r="Q36" s="1166"/>
    </row>
    <row r="37" spans="1:17" ht="12.75">
      <c r="A37" s="1155">
        <f>+A28+1</f>
        <v>9</v>
      </c>
      <c r="B37" s="1155" t="s">
        <v>794</v>
      </c>
      <c r="D37" s="1175">
        <v>-10200682</v>
      </c>
      <c r="E37" s="1176"/>
      <c r="F37" s="1273">
        <v>-7960375</v>
      </c>
      <c r="G37" s="1273">
        <v>-2383555</v>
      </c>
      <c r="H37" s="1273">
        <v>-210469</v>
      </c>
      <c r="I37" s="1273">
        <v>-6946810</v>
      </c>
      <c r="J37" s="1273">
        <v>-266258</v>
      </c>
      <c r="K37" s="1177">
        <f>SUM(D37:J37)</f>
        <v>-27968149</v>
      </c>
      <c r="L37" s="1166" t="s">
        <v>116</v>
      </c>
      <c r="M37" s="1166"/>
      <c r="N37" s="1166"/>
      <c r="O37" s="1166"/>
      <c r="P37" s="1166"/>
      <c r="Q37" s="1166"/>
    </row>
    <row r="38" spans="4:10" ht="12.75">
      <c r="D38" s="1178"/>
      <c r="E38" s="1174"/>
      <c r="F38" s="1178"/>
      <c r="G38" s="1178"/>
      <c r="H38" s="1178"/>
      <c r="I38" s="1178"/>
      <c r="J38" s="1178"/>
    </row>
    <row r="39" spans="1:17" ht="12.75">
      <c r="A39" s="1155">
        <f>+A37+1</f>
        <v>10</v>
      </c>
      <c r="B39" s="1544" t="s">
        <v>795</v>
      </c>
      <c r="C39" s="1544"/>
      <c r="D39" s="1175">
        <f>-D37-D41+-9977938.89</f>
        <v>222743.1099999994</v>
      </c>
      <c r="E39" s="1176"/>
      <c r="F39" s="1175">
        <f>-F37-F41+-7779029.54</f>
        <v>181345.45999999996</v>
      </c>
      <c r="G39" s="1175">
        <f>-G37-G41+-2264540.97</f>
        <v>119014.0299999998</v>
      </c>
      <c r="H39" s="1175">
        <f>-H37-H41+-212486.67</f>
        <v>-2017.6700000000128</v>
      </c>
      <c r="I39" s="1175">
        <f>-I37-I41+-7014203.77</f>
        <v>-67393.76999999955</v>
      </c>
      <c r="J39" s="1175">
        <f>-J37-J41+-408149.11</f>
        <v>-141891.11</v>
      </c>
      <c r="K39" s="1177"/>
      <c r="L39" s="1166"/>
      <c r="M39" s="1166"/>
      <c r="N39" s="1166"/>
      <c r="O39" s="1166"/>
      <c r="P39" s="1166"/>
      <c r="Q39" s="1166"/>
    </row>
    <row r="40" spans="2:17" ht="12.75">
      <c r="B40" s="1544"/>
      <c r="C40" s="1544"/>
      <c r="D40" s="1169"/>
      <c r="E40" s="1174"/>
      <c r="F40" s="1169"/>
      <c r="G40" s="1169"/>
      <c r="H40" s="1169"/>
      <c r="I40" s="1169"/>
      <c r="J40" s="1169"/>
      <c r="K40" s="1180"/>
      <c r="L40" s="1166"/>
      <c r="M40" s="1166"/>
      <c r="N40" s="1166"/>
      <c r="O40" s="1166"/>
      <c r="P40" s="1166"/>
      <c r="Q40" s="1166"/>
    </row>
    <row r="41" spans="1:17" ht="12.75">
      <c r="A41" s="1155">
        <f>+A39+1</f>
        <v>11</v>
      </c>
      <c r="B41" s="1155" t="s">
        <v>796</v>
      </c>
      <c r="D41" s="1175">
        <v>0</v>
      </c>
      <c r="E41" s="1176"/>
      <c r="F41" s="1175">
        <v>0</v>
      </c>
      <c r="G41" s="1175">
        <v>0</v>
      </c>
      <c r="H41" s="1175">
        <v>0</v>
      </c>
      <c r="I41" s="1175">
        <v>0</v>
      </c>
      <c r="J41" s="1175">
        <v>0</v>
      </c>
      <c r="K41" s="1177">
        <f>SUM(D41:J41)</f>
        <v>0</v>
      </c>
      <c r="L41" s="1166"/>
      <c r="M41" s="1166"/>
      <c r="N41" s="1166"/>
      <c r="O41" s="1166"/>
      <c r="P41" s="1166"/>
      <c r="Q41" s="1166"/>
    </row>
    <row r="42" spans="4:17" ht="12.75">
      <c r="D42" s="1181"/>
      <c r="E42" s="1182"/>
      <c r="F42" s="1181"/>
      <c r="G42" s="1181"/>
      <c r="H42" s="1181"/>
      <c r="I42" s="1183"/>
      <c r="J42" s="1183"/>
      <c r="K42" s="1184"/>
      <c r="L42" s="1166"/>
      <c r="M42" s="1166"/>
      <c r="N42" s="1166"/>
      <c r="O42" s="1166"/>
      <c r="P42" s="1166"/>
      <c r="Q42" s="1166"/>
    </row>
    <row r="43" spans="1:17" ht="12.75">
      <c r="A43" s="1155">
        <f>+A41+1</f>
        <v>12</v>
      </c>
      <c r="B43" s="1155" t="str">
        <f>"Net Company Expense (Ln "&amp;A37&amp;" + Ln "&amp;A39&amp;" + Ln  "&amp;A41&amp;")"</f>
        <v>Net Company Expense (Ln 9 + Ln 10 + Ln  11)</v>
      </c>
      <c r="D43" s="1169">
        <f aca="true" t="shared" si="6" ref="D43:J43">+D37+D41+D39</f>
        <v>-9977938.89</v>
      </c>
      <c r="E43" s="1185"/>
      <c r="F43" s="1169">
        <f t="shared" si="6"/>
        <v>-7779029.54</v>
      </c>
      <c r="G43" s="1169">
        <f t="shared" si="6"/>
        <v>-2264540.97</v>
      </c>
      <c r="H43" s="1169">
        <f t="shared" si="6"/>
        <v>-212486.67</v>
      </c>
      <c r="I43" s="1169">
        <f t="shared" si="6"/>
        <v>-7014203.77</v>
      </c>
      <c r="J43" s="1169">
        <f t="shared" si="6"/>
        <v>-408149.11</v>
      </c>
      <c r="K43" s="1177">
        <f>SUM(D43:J43)</f>
        <v>-27656348.95</v>
      </c>
      <c r="L43" s="1166"/>
      <c r="M43" s="1166"/>
      <c r="N43" s="1166"/>
      <c r="O43" s="1166"/>
      <c r="P43" s="1166"/>
      <c r="Q43" s="1166"/>
    </row>
    <row r="44" spans="5:17" ht="12.75">
      <c r="E44" s="1174"/>
      <c r="G44" s="1169">
        <f>+G40+G42</f>
        <v>0</v>
      </c>
      <c r="I44" s="1166"/>
      <c r="J44" s="1166"/>
      <c r="K44" s="1180"/>
      <c r="L44" s="1186"/>
      <c r="M44" s="1166"/>
      <c r="N44" s="1166"/>
      <c r="O44" s="1166"/>
      <c r="P44" s="1166"/>
      <c r="Q44" s="1166"/>
    </row>
    <row r="45" spans="1:17" ht="12.75">
      <c r="A45" s="1155">
        <f>+A43+1</f>
        <v>13</v>
      </c>
      <c r="B45" s="1544" t="s">
        <v>797</v>
      </c>
      <c r="C45" s="1544"/>
      <c r="D45" s="1275">
        <v>-808994.91</v>
      </c>
      <c r="E45" s="1274"/>
      <c r="F45" s="1275">
        <v>-562339.44</v>
      </c>
      <c r="G45" s="1275">
        <v>-232529.03</v>
      </c>
      <c r="H45" s="1275">
        <v>-26249.49</v>
      </c>
      <c r="I45" s="1275">
        <v>-690641.88</v>
      </c>
      <c r="J45" s="1275">
        <v>-26923.14</v>
      </c>
      <c r="K45" s="1177">
        <f>SUM(D45:J45)</f>
        <v>-2347677.89</v>
      </c>
      <c r="L45" s="1187" t="s">
        <v>116</v>
      </c>
      <c r="M45" s="1166"/>
      <c r="N45" s="1166"/>
      <c r="O45" s="1166"/>
      <c r="P45" s="1166"/>
      <c r="Q45" s="1166"/>
    </row>
    <row r="46" spans="2:17" ht="12.75">
      <c r="B46" s="1544"/>
      <c r="C46" s="1544"/>
      <c r="D46" s="1188"/>
      <c r="E46" s="1174"/>
      <c r="I46" s="1166"/>
      <c r="J46" s="1166"/>
      <c r="K46" s="1180"/>
      <c r="L46" s="1166"/>
      <c r="M46" s="1166"/>
      <c r="N46" s="1166"/>
      <c r="O46" s="1166"/>
      <c r="P46" s="1166"/>
      <c r="Q46" s="1166"/>
    </row>
    <row r="47" spans="1:17" ht="13.5" thickBot="1">
      <c r="A47" s="1155">
        <f>+A45+1</f>
        <v>14</v>
      </c>
      <c r="B47" s="1155" t="str">
        <f>"Company PBOP Expense (Ln "&amp;A43&amp;" + Ln  "&amp;A45&amp;")"</f>
        <v>Company PBOP Expense (Ln 12 + Ln  13)</v>
      </c>
      <c r="D47" s="1189">
        <f>+D45+D41+D39+D37</f>
        <v>-10786933.8</v>
      </c>
      <c r="E47" s="1190"/>
      <c r="F47" s="1189">
        <f>+F45+F41+F39+F37</f>
        <v>-8341368.98</v>
      </c>
      <c r="G47" s="1189">
        <f>+G45+G41+G39+G37</f>
        <v>-2497070</v>
      </c>
      <c r="H47" s="1189">
        <f>+H45+H41+H39+H37</f>
        <v>-238736.16</v>
      </c>
      <c r="I47" s="1189">
        <f>+I45+I41+I39+I37</f>
        <v>-7704845.649999999</v>
      </c>
      <c r="J47" s="1189">
        <f>+J45+J41+J39+J37</f>
        <v>-435072.25</v>
      </c>
      <c r="K47" s="1191">
        <f>SUM(D47:J47)</f>
        <v>-30004026.84</v>
      </c>
      <c r="L47" s="1166"/>
      <c r="M47" s="1166"/>
      <c r="N47" s="1166"/>
      <c r="O47" s="1166"/>
      <c r="P47" s="1166"/>
      <c r="Q47" s="1166"/>
    </row>
    <row r="48" spans="9:17" ht="13.5" thickTop="1">
      <c r="I48" s="1166"/>
      <c r="J48" s="1166"/>
      <c r="K48" s="1166"/>
      <c r="L48" s="1166"/>
      <c r="M48" s="1166"/>
      <c r="N48" s="1166"/>
      <c r="O48" s="1166"/>
      <c r="P48" s="1166"/>
      <c r="Q48" s="1166"/>
    </row>
    <row r="49" spans="1:17" ht="12.75">
      <c r="A49" s="1545" t="s">
        <v>798</v>
      </c>
      <c r="B49" s="1545"/>
      <c r="C49" s="1545"/>
      <c r="D49" s="1545"/>
      <c r="E49" s="1545"/>
      <c r="F49" s="1545"/>
      <c r="G49" s="1545"/>
      <c r="H49" s="1545"/>
      <c r="I49" s="1545"/>
      <c r="J49" s="1545"/>
      <c r="K49" s="1545"/>
      <c r="L49" s="1192"/>
      <c r="M49" s="1166"/>
      <c r="N49" s="1166"/>
      <c r="O49" s="1166"/>
      <c r="P49" s="1166"/>
      <c r="Q49" s="1166"/>
    </row>
    <row r="50" spans="1:17" ht="12.75">
      <c r="A50" s="1545"/>
      <c r="B50" s="1545"/>
      <c r="C50" s="1545"/>
      <c r="D50" s="1545"/>
      <c r="E50" s="1545"/>
      <c r="F50" s="1545"/>
      <c r="G50" s="1545"/>
      <c r="H50" s="1545"/>
      <c r="I50" s="1545"/>
      <c r="J50" s="1545"/>
      <c r="K50" s="1545"/>
      <c r="L50" s="1166"/>
      <c r="M50" s="1166"/>
      <c r="N50" s="1166"/>
      <c r="O50" s="1166"/>
      <c r="P50" s="1166"/>
      <c r="Q50" s="1166"/>
    </row>
    <row r="51" spans="1:17" ht="12.75">
      <c r="A51" s="1545"/>
      <c r="B51" s="1545"/>
      <c r="C51" s="1545"/>
      <c r="D51" s="1545"/>
      <c r="E51" s="1545"/>
      <c r="F51" s="1545"/>
      <c r="G51" s="1545"/>
      <c r="H51" s="1545"/>
      <c r="I51" s="1545"/>
      <c r="J51" s="1545"/>
      <c r="K51" s="1545"/>
      <c r="L51" s="1166"/>
      <c r="M51" s="1166"/>
      <c r="N51" s="1166"/>
      <c r="O51" s="1166"/>
      <c r="P51" s="1166"/>
      <c r="Q51" s="1166"/>
    </row>
    <row r="52" spans="1:17" ht="12.75">
      <c r="A52" s="1545"/>
      <c r="B52" s="1545"/>
      <c r="C52" s="1545"/>
      <c r="D52" s="1545"/>
      <c r="E52" s="1545"/>
      <c r="F52" s="1545"/>
      <c r="G52" s="1545"/>
      <c r="H52" s="1545"/>
      <c r="I52" s="1545"/>
      <c r="J52" s="1545"/>
      <c r="K52" s="1545"/>
      <c r="Q52" s="1166"/>
    </row>
    <row r="53" spans="1:17" ht="12.75">
      <c r="A53" s="1545"/>
      <c r="B53" s="1545"/>
      <c r="C53" s="1545"/>
      <c r="D53" s="1545"/>
      <c r="E53" s="1545"/>
      <c r="F53" s="1545"/>
      <c r="G53" s="1545"/>
      <c r="H53" s="1545"/>
      <c r="I53" s="1545"/>
      <c r="J53" s="1545"/>
      <c r="K53" s="1545"/>
      <c r="Q53" s="1166"/>
    </row>
    <row r="54" spans="1:17" ht="12.75">
      <c r="A54" s="1545"/>
      <c r="B54" s="1545"/>
      <c r="C54" s="1545"/>
      <c r="D54" s="1545"/>
      <c r="E54" s="1545"/>
      <c r="F54" s="1545"/>
      <c r="G54" s="1545"/>
      <c r="H54" s="1545"/>
      <c r="I54" s="1545"/>
      <c r="J54" s="1545"/>
      <c r="K54" s="1545"/>
      <c r="Q54" s="1166"/>
    </row>
    <row r="55" spans="1:17" ht="12.75">
      <c r="A55" s="1545"/>
      <c r="B55" s="1545"/>
      <c r="C55" s="1545"/>
      <c r="D55" s="1545"/>
      <c r="E55" s="1545"/>
      <c r="F55" s="1545"/>
      <c r="G55" s="1545"/>
      <c r="H55" s="1545"/>
      <c r="I55" s="1545"/>
      <c r="J55" s="1545"/>
      <c r="K55" s="1545"/>
      <c r="Q55" s="1166"/>
    </row>
    <row r="56" spans="1:17" ht="12.75">
      <c r="A56" s="1545"/>
      <c r="B56" s="1545"/>
      <c r="C56" s="1545"/>
      <c r="D56" s="1545"/>
      <c r="E56" s="1545"/>
      <c r="F56" s="1545"/>
      <c r="G56" s="1545"/>
      <c r="H56" s="1545"/>
      <c r="I56" s="1545"/>
      <c r="J56" s="1545"/>
      <c r="K56" s="1545"/>
      <c r="Q56" s="1166"/>
    </row>
    <row r="57" spans="1:17" ht="12.75">
      <c r="A57" s="1545"/>
      <c r="B57" s="1545"/>
      <c r="C57" s="1545"/>
      <c r="D57" s="1545"/>
      <c r="E57" s="1545"/>
      <c r="F57" s="1545"/>
      <c r="G57" s="1545"/>
      <c r="H57" s="1545"/>
      <c r="I57" s="1545"/>
      <c r="J57" s="1545"/>
      <c r="K57" s="1545"/>
      <c r="Q57" s="1166"/>
    </row>
    <row r="58" ht="12.75">
      <c r="Q58" s="1193"/>
    </row>
    <row r="59" ht="18.75" customHeight="1"/>
    <row r="60" spans="17:19" ht="12.75" customHeight="1">
      <c r="Q60" s="1194"/>
      <c r="R60" s="1194"/>
      <c r="S60" s="1194"/>
    </row>
    <row r="61" ht="68.25" customHeight="1"/>
    <row r="72" ht="39.75" customHeight="1"/>
    <row r="81" spans="17:22" ht="15.75" customHeight="1">
      <c r="Q81" s="1195"/>
      <c r="R81" s="1195"/>
      <c r="S81" s="1195"/>
      <c r="T81" s="1195"/>
      <c r="U81" s="1195"/>
      <c r="V81" s="1178"/>
    </row>
    <row r="82" spans="17:22" ht="6" customHeight="1">
      <c r="Q82" s="1195"/>
      <c r="R82" s="1195"/>
      <c r="S82" s="1195"/>
      <c r="T82" s="1195"/>
      <c r="U82" s="1195"/>
      <c r="V82" s="1178"/>
    </row>
    <row r="83" spans="17:22" ht="12.75">
      <c r="Q83" s="1195"/>
      <c r="R83" s="1195"/>
      <c r="S83" s="1195"/>
      <c r="T83" s="1195"/>
      <c r="U83" s="1195"/>
      <c r="V83" s="1178"/>
    </row>
    <row r="84" spans="17:22" ht="6" customHeight="1">
      <c r="Q84" s="1195"/>
      <c r="R84" s="1195"/>
      <c r="S84" s="1195"/>
      <c r="T84" s="1195"/>
      <c r="U84" s="1195"/>
      <c r="V84" s="1178"/>
    </row>
    <row r="85" spans="17:22" ht="12.75">
      <c r="Q85" s="1195"/>
      <c r="R85" s="1195"/>
      <c r="S85" s="1195"/>
      <c r="T85" s="1195"/>
      <c r="U85" s="1195"/>
      <c r="V85" s="1178"/>
    </row>
    <row r="86" spans="17:22" ht="12.75" customHeight="1">
      <c r="Q86" s="1195"/>
      <c r="R86" s="1195"/>
      <c r="S86" s="1195"/>
      <c r="T86" s="1195"/>
      <c r="U86" s="1195"/>
      <c r="V86" s="1178"/>
    </row>
    <row r="87" spans="17:22" ht="6.75" customHeight="1">
      <c r="Q87" s="1195"/>
      <c r="R87" s="1195"/>
      <c r="S87" s="1195"/>
      <c r="T87" s="1195"/>
      <c r="U87" s="1195"/>
      <c r="V87" s="1178"/>
    </row>
    <row r="88" spans="17:22" ht="12.75">
      <c r="Q88" s="1195"/>
      <c r="R88" s="1195"/>
      <c r="S88" s="1195"/>
      <c r="T88" s="1195"/>
      <c r="U88" s="1195"/>
      <c r="V88" s="1178"/>
    </row>
    <row r="89" spans="17:21" ht="12.75">
      <c r="Q89" s="1195"/>
      <c r="R89" s="1195"/>
      <c r="S89" s="1195"/>
      <c r="T89" s="1195"/>
      <c r="U89" s="1178"/>
    </row>
    <row r="90" spans="17:21" ht="12.75">
      <c r="Q90" s="1195"/>
      <c r="R90" s="1195"/>
      <c r="S90" s="1195"/>
      <c r="T90" s="1195"/>
      <c r="U90" s="1178"/>
    </row>
    <row r="91" spans="17:21" ht="12.75">
      <c r="Q91" s="1195"/>
      <c r="R91" s="1195"/>
      <c r="S91" s="1195"/>
      <c r="T91" s="1195"/>
      <c r="U91" s="1178"/>
    </row>
    <row r="92" spans="17:18" ht="12.75">
      <c r="Q92" s="1193"/>
      <c r="R92" s="1193"/>
    </row>
    <row r="93" ht="12.75">
      <c r="Q93" s="1193"/>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1178"/>
    </row>
    <row r="183" ht="12.75">
      <c r="M183" s="1196"/>
    </row>
    <row r="184" ht="12.75">
      <c r="M184" s="1179"/>
    </row>
    <row r="185" ht="12.75" customHeight="1">
      <c r="M185" s="1179"/>
    </row>
    <row r="186" ht="12.75">
      <c r="M186" s="1179"/>
    </row>
    <row r="187" ht="12.75">
      <c r="M187" s="1179"/>
    </row>
    <row r="188" ht="12.75">
      <c r="M188" s="1197"/>
    </row>
    <row r="189" ht="12.75">
      <c r="M189" s="1197"/>
    </row>
    <row r="190" ht="12.75">
      <c r="M190" s="1178"/>
    </row>
    <row r="191" ht="12.75">
      <c r="M191" s="1178"/>
    </row>
    <row r="192" ht="12.75">
      <c r="M192" s="1178"/>
    </row>
    <row r="193" ht="12.75">
      <c r="M193" s="1178"/>
    </row>
    <row r="194" ht="12.75">
      <c r="M194" s="1178"/>
    </row>
    <row r="195" ht="12.75">
      <c r="M195" s="1178"/>
    </row>
    <row r="196" ht="12.75">
      <c r="M196" s="1198"/>
    </row>
    <row r="197" ht="12.75">
      <c r="M197" s="1199"/>
    </row>
    <row r="199" ht="12.75">
      <c r="M199" s="1178"/>
    </row>
    <row r="204" ht="12.75">
      <c r="M204" s="1178"/>
    </row>
    <row r="205" ht="12.75">
      <c r="M205" s="1196"/>
    </row>
    <row r="206" ht="12.75">
      <c r="M206" s="1179"/>
    </row>
    <row r="207" ht="12.75" customHeight="1">
      <c r="M207" s="1179"/>
    </row>
    <row r="208" ht="12.75">
      <c r="M208" s="1179"/>
    </row>
    <row r="209" ht="12.75">
      <c r="M209" s="1179"/>
    </row>
    <row r="210" ht="12.75">
      <c r="M210" s="1197"/>
    </row>
    <row r="211" ht="12.75">
      <c r="M211" s="1197"/>
    </row>
    <row r="212" ht="12.75">
      <c r="M212" s="1178"/>
    </row>
    <row r="213" ht="12.75">
      <c r="M213" s="1178"/>
    </row>
    <row r="214" ht="12.75">
      <c r="M214" s="1178"/>
    </row>
    <row r="215" ht="12.75">
      <c r="M215" s="1178"/>
    </row>
    <row r="216" ht="12.75">
      <c r="M216" s="1178"/>
    </row>
    <row r="217" ht="12.75">
      <c r="M217" s="1178"/>
    </row>
    <row r="218" ht="12.75">
      <c r="M218" s="1198"/>
    </row>
    <row r="219" ht="12.75">
      <c r="M219" s="1199"/>
    </row>
    <row r="221" ht="12.75">
      <c r="M221" s="1178"/>
    </row>
    <row r="226" ht="12.75">
      <c r="M226" s="1178"/>
    </row>
    <row r="227" ht="12.75">
      <c r="M227" s="1196"/>
    </row>
    <row r="228" ht="12.75">
      <c r="M228" s="1179"/>
    </row>
    <row r="229" ht="12.75" customHeight="1">
      <c r="M229" s="1179"/>
    </row>
    <row r="230" ht="12.75">
      <c r="M230" s="1179"/>
    </row>
    <row r="231" ht="12.75">
      <c r="M231" s="1179"/>
    </row>
    <row r="232" ht="12.75">
      <c r="M232" s="1197"/>
    </row>
    <row r="233" ht="12.75">
      <c r="M233" s="1197"/>
    </row>
    <row r="234" ht="12.75">
      <c r="M234" s="1178"/>
    </row>
    <row r="235" ht="12.75">
      <c r="M235" s="1178"/>
    </row>
    <row r="236" ht="12.75">
      <c r="M236" s="1178"/>
    </row>
    <row r="237" ht="12.75">
      <c r="M237" s="1178"/>
    </row>
    <row r="238" ht="12.75">
      <c r="M238" s="1178"/>
    </row>
    <row r="239" ht="12.75">
      <c r="M239" s="1178"/>
    </row>
    <row r="240" ht="12.75">
      <c r="M240" s="1198"/>
    </row>
    <row r="241" ht="12.75">
      <c r="M241" s="1199"/>
    </row>
    <row r="243" ht="12.75">
      <c r="M243" s="1178"/>
    </row>
    <row r="248" ht="12.75">
      <c r="M248" s="1178"/>
    </row>
    <row r="249" ht="12.75">
      <c r="M249" s="1196"/>
    </row>
    <row r="250" ht="12.75">
      <c r="M250" s="1179"/>
    </row>
    <row r="251" ht="12.75" customHeight="1">
      <c r="M251" s="1179"/>
    </row>
    <row r="252" ht="12.75">
      <c r="M252" s="1179"/>
    </row>
    <row r="253" ht="12.75">
      <c r="M253" s="1179"/>
    </row>
    <row r="254" ht="12.75">
      <c r="M254" s="1197"/>
    </row>
    <row r="255" ht="12.75">
      <c r="M255" s="1197"/>
    </row>
    <row r="256" ht="12.75">
      <c r="M256" s="1178"/>
    </row>
    <row r="257" ht="12.75">
      <c r="M257" s="1178"/>
    </row>
    <row r="258" ht="12.75">
      <c r="M258" s="1178"/>
    </row>
    <row r="259" ht="12.75">
      <c r="M259" s="1178"/>
    </row>
    <row r="260" ht="12.75">
      <c r="M260" s="1178"/>
    </row>
    <row r="261" ht="12.75">
      <c r="M261" s="1178"/>
    </row>
    <row r="262" ht="12.75">
      <c r="M262" s="1198"/>
    </row>
    <row r="263" ht="12.75">
      <c r="M263" s="1199"/>
    </row>
    <row r="265" ht="12.75">
      <c r="M265" s="1178"/>
    </row>
    <row r="270" ht="12.75">
      <c r="M270" s="1178"/>
    </row>
    <row r="271" ht="12.75">
      <c r="M271" s="1196"/>
    </row>
    <row r="272" ht="12.75" customHeight="1">
      <c r="M272" s="1179"/>
    </row>
    <row r="273" ht="12.75" customHeight="1">
      <c r="M273" s="1179"/>
    </row>
    <row r="274" ht="12.75">
      <c r="M274" s="1179"/>
    </row>
    <row r="275" ht="12.75" customHeight="1">
      <c r="M275" s="1179"/>
    </row>
    <row r="276" ht="12.75">
      <c r="M276" s="1197"/>
    </row>
    <row r="277" ht="12.75">
      <c r="M277" s="1197"/>
    </row>
    <row r="278" ht="12.75">
      <c r="M278" s="1178"/>
    </row>
    <row r="279" ht="12.75">
      <c r="M279" s="1178"/>
    </row>
    <row r="280" ht="12.75">
      <c r="M280" s="1178"/>
    </row>
    <row r="281" ht="12.75">
      <c r="M281" s="1178"/>
    </row>
    <row r="282" ht="12.75">
      <c r="M282" s="1178"/>
    </row>
    <row r="283" ht="12.75">
      <c r="M283" s="1178"/>
    </row>
    <row r="284" ht="12.75">
      <c r="M284" s="1198"/>
    </row>
    <row r="285" ht="12.75">
      <c r="M285" s="1199"/>
    </row>
    <row r="287" ht="12.75">
      <c r="M287" s="1178"/>
    </row>
  </sheetData>
  <sheetProtection/>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L95"/>
  <sheetViews>
    <sheetView zoomScaleSheetLayoutView="70" zoomScalePageLayoutView="50" workbookViewId="0" topLeftCell="C19">
      <selection activeCell="H81" sqref="H81"/>
    </sheetView>
  </sheetViews>
  <sheetFormatPr defaultColWidth="11.421875" defaultRowHeight="12.75"/>
  <cols>
    <col min="1" max="1" width="10.28125" style="892" customWidth="1"/>
    <col min="2" max="2" width="64.57421875" style="236" customWidth="1"/>
    <col min="3" max="3" width="26.7109375" style="236" bestFit="1" customWidth="1"/>
    <col min="4" max="11" width="20.28125" style="236" customWidth="1"/>
    <col min="12" max="12" width="20.00390625" style="236" customWidth="1"/>
    <col min="13" max="14" width="15.140625" style="236" customWidth="1"/>
    <col min="15" max="16384" width="11.421875" style="236" customWidth="1"/>
  </cols>
  <sheetData>
    <row r="1" spans="1:9" ht="15">
      <c r="A1" s="1480" t="s">
        <v>389</v>
      </c>
      <c r="B1" s="1480"/>
      <c r="C1" s="1480"/>
      <c r="D1" s="1480"/>
      <c r="E1" s="1480"/>
      <c r="F1" s="1480"/>
      <c r="G1" s="1480"/>
      <c r="H1" s="896"/>
      <c r="I1" s="896"/>
    </row>
    <row r="2" spans="1:12" ht="15">
      <c r="A2" s="1481" t="str">
        <f>"Cost of Service Formula Rate Using Actual/Projected FF1 Balances"</f>
        <v>Cost of Service Formula Rate Using Actual/Projected FF1 Balances</v>
      </c>
      <c r="B2" s="1481"/>
      <c r="C2" s="1481"/>
      <c r="D2" s="1481"/>
      <c r="E2" s="1481"/>
      <c r="F2" s="1481"/>
      <c r="G2" s="1481"/>
      <c r="H2" s="896"/>
      <c r="I2" s="896"/>
      <c r="J2" s="896"/>
      <c r="L2" s="947"/>
    </row>
    <row r="3" spans="1:10" ht="15">
      <c r="A3" s="1481" t="s">
        <v>651</v>
      </c>
      <c r="B3" s="1481"/>
      <c r="C3" s="1481"/>
      <c r="D3" s="1481"/>
      <c r="E3" s="1481"/>
      <c r="F3" s="1481"/>
      <c r="G3" s="1481"/>
      <c r="H3" s="896"/>
      <c r="I3" s="896"/>
      <c r="J3" s="896"/>
    </row>
    <row r="4" spans="1:10" ht="15">
      <c r="A4" s="1488" t="str">
        <f>'I&amp;M TCOS'!F7</f>
        <v>INDIANA MICHIGAN POWER COMPANY</v>
      </c>
      <c r="B4" s="1488"/>
      <c r="C4" s="1488"/>
      <c r="D4" s="1488"/>
      <c r="E4" s="1488"/>
      <c r="F4" s="1488"/>
      <c r="G4" s="1488"/>
      <c r="H4" s="896"/>
      <c r="I4" s="896"/>
      <c r="J4" s="896"/>
    </row>
    <row r="5" spans="1:12" ht="12.75">
      <c r="A5" s="896"/>
      <c r="B5" s="942"/>
      <c r="C5" s="942"/>
      <c r="D5" s="942"/>
      <c r="E5" s="946"/>
      <c r="F5" s="945"/>
      <c r="H5" s="945"/>
      <c r="J5" s="945"/>
      <c r="L5" s="945"/>
    </row>
    <row r="6" spans="1:12" ht="12.75" customHeight="1">
      <c r="A6" s="896"/>
      <c r="B6" s="942"/>
      <c r="C6" s="1482" t="s">
        <v>650</v>
      </c>
      <c r="D6" s="1483"/>
      <c r="E6" s="1483"/>
      <c r="F6" s="1483"/>
      <c r="G6" s="1483"/>
      <c r="H6" s="1483"/>
      <c r="I6" s="1483"/>
      <c r="J6" s="1483"/>
      <c r="K6" s="1484"/>
      <c r="L6" s="6"/>
    </row>
    <row r="7" spans="1:12" s="939" customFormat="1" ht="25.5">
      <c r="A7" s="941" t="s">
        <v>640</v>
      </c>
      <c r="B7" s="940" t="s">
        <v>639</v>
      </c>
      <c r="C7" s="918" t="s">
        <v>231</v>
      </c>
      <c r="D7" s="918" t="s">
        <v>648</v>
      </c>
      <c r="E7" s="918" t="s">
        <v>117</v>
      </c>
      <c r="F7" s="918" t="s">
        <v>647</v>
      </c>
      <c r="G7" s="918" t="s">
        <v>440</v>
      </c>
      <c r="H7" s="918" t="s">
        <v>646</v>
      </c>
      <c r="I7" s="918" t="s">
        <v>336</v>
      </c>
      <c r="J7" s="918" t="s">
        <v>645</v>
      </c>
      <c r="K7" s="917" t="s">
        <v>644</v>
      </c>
      <c r="L7" s="6"/>
    </row>
    <row r="8" spans="1:12" s="910" customFormat="1" ht="12.75">
      <c r="A8" s="907"/>
      <c r="B8" s="915" t="s">
        <v>634</v>
      </c>
      <c r="C8" s="914" t="s">
        <v>633</v>
      </c>
      <c r="D8" s="914" t="s">
        <v>632</v>
      </c>
      <c r="E8" s="914" t="s">
        <v>631</v>
      </c>
      <c r="F8" s="914" t="s">
        <v>630</v>
      </c>
      <c r="G8" s="914" t="s">
        <v>652</v>
      </c>
      <c r="H8" s="914" t="s">
        <v>653</v>
      </c>
      <c r="I8" s="914" t="s">
        <v>643</v>
      </c>
      <c r="J8" s="914" t="s">
        <v>642</v>
      </c>
      <c r="K8" s="938" t="s">
        <v>641</v>
      </c>
      <c r="L8" s="6"/>
    </row>
    <row r="9" spans="1:12" s="910" customFormat="1" ht="44.25" customHeight="1">
      <c r="A9" s="907"/>
      <c r="B9" s="915" t="s">
        <v>629</v>
      </c>
      <c r="C9" s="937" t="s">
        <v>444</v>
      </c>
      <c r="D9" s="937" t="s">
        <v>449</v>
      </c>
      <c r="E9" s="937" t="s">
        <v>445</v>
      </c>
      <c r="F9" s="937" t="s">
        <v>654</v>
      </c>
      <c r="G9" s="937" t="s">
        <v>446</v>
      </c>
      <c r="H9" s="937" t="s">
        <v>447</v>
      </c>
      <c r="I9" s="937" t="s">
        <v>655</v>
      </c>
      <c r="J9" s="937" t="s">
        <v>656</v>
      </c>
      <c r="K9" s="936" t="s">
        <v>448</v>
      </c>
      <c r="L9" s="6"/>
    </row>
    <row r="10" spans="1:12" ht="12.75">
      <c r="A10" s="907">
        <v>1</v>
      </c>
      <c r="B10" s="934" t="s">
        <v>627</v>
      </c>
      <c r="C10" s="902">
        <v>4024399549</v>
      </c>
      <c r="D10" s="902">
        <v>141653692</v>
      </c>
      <c r="E10" s="902">
        <v>1472572880</v>
      </c>
      <c r="F10" s="902">
        <v>0</v>
      </c>
      <c r="G10" s="902">
        <v>1899130051</v>
      </c>
      <c r="H10" s="902">
        <v>0</v>
      </c>
      <c r="I10" s="902">
        <v>128607375</v>
      </c>
      <c r="J10" s="902">
        <v>172921</v>
      </c>
      <c r="K10" s="935">
        <v>106383720</v>
      </c>
      <c r="L10" s="6"/>
    </row>
    <row r="11" spans="1:12" ht="12.75">
      <c r="A11" s="907">
        <f>+A10+1</f>
        <v>2</v>
      </c>
      <c r="B11" s="934" t="s">
        <v>187</v>
      </c>
      <c r="C11" s="1145"/>
      <c r="D11" s="1145"/>
      <c r="E11" s="1145"/>
      <c r="F11" s="1145"/>
      <c r="G11" s="1145"/>
      <c r="H11" s="1145"/>
      <c r="I11" s="1145"/>
      <c r="J11" s="1145"/>
      <c r="K11" s="1146"/>
      <c r="L11" s="6"/>
    </row>
    <row r="12" spans="1:12" ht="12.75">
      <c r="A12" s="907">
        <f aca="true" t="shared" si="0" ref="A12:A23">+A11+1</f>
        <v>3</v>
      </c>
      <c r="B12" s="933" t="s">
        <v>563</v>
      </c>
      <c r="C12" s="1145"/>
      <c r="D12" s="1145"/>
      <c r="E12" s="1145"/>
      <c r="F12" s="1145"/>
      <c r="G12" s="1145"/>
      <c r="H12" s="1145"/>
      <c r="I12" s="1145"/>
      <c r="J12" s="1145"/>
      <c r="K12" s="1147"/>
      <c r="L12" s="6"/>
    </row>
    <row r="13" spans="1:12" ht="12.75">
      <c r="A13" s="907">
        <f t="shared" si="0"/>
        <v>4</v>
      </c>
      <c r="B13" s="933" t="s">
        <v>626</v>
      </c>
      <c r="C13" s="1145"/>
      <c r="D13" s="1145"/>
      <c r="E13" s="1145"/>
      <c r="F13" s="1145"/>
      <c r="G13" s="1145"/>
      <c r="H13" s="1145"/>
      <c r="I13" s="1145"/>
      <c r="J13" s="1145"/>
      <c r="K13" s="1147"/>
      <c r="L13" s="6"/>
    </row>
    <row r="14" spans="1:12" ht="12.75">
      <c r="A14" s="907">
        <f t="shared" si="0"/>
        <v>5</v>
      </c>
      <c r="B14" s="933" t="s">
        <v>189</v>
      </c>
      <c r="C14" s="1145"/>
      <c r="D14" s="1145"/>
      <c r="E14" s="1145"/>
      <c r="F14" s="1145"/>
      <c r="G14" s="1145"/>
      <c r="H14" s="1145"/>
      <c r="I14" s="1145"/>
      <c r="J14" s="1145"/>
      <c r="K14" s="1147"/>
      <c r="L14" s="6"/>
    </row>
    <row r="15" spans="1:12" ht="12.75">
      <c r="A15" s="907">
        <f t="shared" si="0"/>
        <v>6</v>
      </c>
      <c r="B15" s="933" t="s">
        <v>190</v>
      </c>
      <c r="C15" s="1145"/>
      <c r="D15" s="1145"/>
      <c r="E15" s="1145"/>
      <c r="F15" s="1145"/>
      <c r="G15" s="1145"/>
      <c r="H15" s="1145"/>
      <c r="I15" s="1145"/>
      <c r="J15" s="1145"/>
      <c r="K15" s="1147"/>
      <c r="L15" s="6"/>
    </row>
    <row r="16" spans="1:12" ht="12.75">
      <c r="A16" s="907">
        <f t="shared" si="0"/>
        <v>7</v>
      </c>
      <c r="B16" s="933" t="s">
        <v>384</v>
      </c>
      <c r="C16" s="1145"/>
      <c r="D16" s="1145"/>
      <c r="E16" s="1145"/>
      <c r="F16" s="1145"/>
      <c r="G16" s="1145"/>
      <c r="H16" s="1145"/>
      <c r="I16" s="1145"/>
      <c r="J16" s="1145"/>
      <c r="K16" s="1147"/>
      <c r="L16" s="6"/>
    </row>
    <row r="17" spans="1:12" ht="12.75">
      <c r="A17" s="907">
        <f t="shared" si="0"/>
        <v>8</v>
      </c>
      <c r="B17" s="933" t="s">
        <v>191</v>
      </c>
      <c r="C17" s="1145"/>
      <c r="D17" s="1145"/>
      <c r="E17" s="1145"/>
      <c r="F17" s="1145"/>
      <c r="G17" s="1145"/>
      <c r="H17" s="1145"/>
      <c r="I17" s="1145"/>
      <c r="J17" s="1145"/>
      <c r="K17" s="1147"/>
      <c r="L17" s="6"/>
    </row>
    <row r="18" spans="1:12" ht="12.75">
      <c r="A18" s="907">
        <f t="shared" si="0"/>
        <v>9</v>
      </c>
      <c r="B18" s="933" t="s">
        <v>625</v>
      </c>
      <c r="C18" s="1145"/>
      <c r="D18" s="1145"/>
      <c r="E18" s="1145"/>
      <c r="F18" s="1145"/>
      <c r="G18" s="1145"/>
      <c r="H18" s="1145"/>
      <c r="I18" s="1145"/>
      <c r="J18" s="1145"/>
      <c r="K18" s="1147"/>
      <c r="L18" s="6"/>
    </row>
    <row r="19" spans="1:12" ht="12.75">
      <c r="A19" s="907">
        <f t="shared" si="0"/>
        <v>10</v>
      </c>
      <c r="B19" s="933" t="s">
        <v>194</v>
      </c>
      <c r="C19" s="1145"/>
      <c r="D19" s="1145"/>
      <c r="E19" s="1145"/>
      <c r="F19" s="1145"/>
      <c r="G19" s="1145"/>
      <c r="H19" s="1145"/>
      <c r="I19" s="1145"/>
      <c r="J19" s="1145"/>
      <c r="K19" s="1147"/>
      <c r="L19" s="6"/>
    </row>
    <row r="20" spans="1:12" ht="12.75">
      <c r="A20" s="907">
        <f t="shared" si="0"/>
        <v>11</v>
      </c>
      <c r="B20" s="933" t="s">
        <v>564</v>
      </c>
      <c r="C20" s="1145"/>
      <c r="D20" s="1145"/>
      <c r="E20" s="1145"/>
      <c r="F20" s="1145"/>
      <c r="G20" s="1145"/>
      <c r="H20" s="1145"/>
      <c r="I20" s="1145"/>
      <c r="J20" s="1145"/>
      <c r="K20" s="1147"/>
      <c r="L20" s="6"/>
    </row>
    <row r="21" spans="1:12" ht="12.75">
      <c r="A21" s="907">
        <f t="shared" si="0"/>
        <v>12</v>
      </c>
      <c r="B21" s="933" t="s">
        <v>565</v>
      </c>
      <c r="C21" s="1145"/>
      <c r="D21" s="1145"/>
      <c r="E21" s="1145"/>
      <c r="F21" s="1145"/>
      <c r="G21" s="1145"/>
      <c r="H21" s="1145"/>
      <c r="I21" s="1145"/>
      <c r="J21" s="1145"/>
      <c r="K21" s="1147"/>
      <c r="L21" s="6"/>
    </row>
    <row r="22" spans="1:12" ht="12.75">
      <c r="A22" s="905">
        <f t="shared" si="0"/>
        <v>13</v>
      </c>
      <c r="B22" s="932" t="s">
        <v>624</v>
      </c>
      <c r="C22" s="902">
        <v>4417729489</v>
      </c>
      <c r="D22" s="902">
        <f>13571817+135680600+318520</f>
        <v>149570937</v>
      </c>
      <c r="E22" s="902">
        <v>1503669739</v>
      </c>
      <c r="F22" s="902">
        <v>0</v>
      </c>
      <c r="G22" s="902">
        <v>2069063856</v>
      </c>
      <c r="H22" s="902">
        <v>0</v>
      </c>
      <c r="I22" s="902">
        <v>134470611</v>
      </c>
      <c r="J22" s="902">
        <v>172921</v>
      </c>
      <c r="K22" s="931">
        <v>166794609</v>
      </c>
      <c r="L22" s="6"/>
    </row>
    <row r="23" spans="1:12" ht="13.5" thickBot="1">
      <c r="A23" s="1149">
        <f t="shared" si="0"/>
        <v>14</v>
      </c>
      <c r="B23" s="1150" t="s">
        <v>771</v>
      </c>
      <c r="C23" s="928">
        <f>(C10+C22)/2</f>
        <v>4221064519</v>
      </c>
      <c r="D23" s="928">
        <f aca="true" t="shared" si="1" ref="D23:K23">(D10+D22)/2</f>
        <v>145612314.5</v>
      </c>
      <c r="E23" s="928">
        <f t="shared" si="1"/>
        <v>1488121309.5</v>
      </c>
      <c r="F23" s="928">
        <f t="shared" si="1"/>
        <v>0</v>
      </c>
      <c r="G23" s="928">
        <f t="shared" si="1"/>
        <v>1984096953.5</v>
      </c>
      <c r="H23" s="928">
        <f t="shared" si="1"/>
        <v>0</v>
      </c>
      <c r="I23" s="928">
        <f t="shared" si="1"/>
        <v>131538993</v>
      </c>
      <c r="J23" s="928">
        <f t="shared" si="1"/>
        <v>172921</v>
      </c>
      <c r="K23" s="927">
        <f t="shared" si="1"/>
        <v>136589164.5</v>
      </c>
      <c r="L23" s="6"/>
    </row>
    <row r="24" spans="1:12" ht="13.5" thickTop="1">
      <c r="A24" s="896"/>
      <c r="B24" s="895"/>
      <c r="C24" s="926"/>
      <c r="D24" s="893"/>
      <c r="E24" s="893"/>
      <c r="F24" s="893"/>
      <c r="G24" s="926"/>
      <c r="H24" s="926"/>
      <c r="I24" s="926"/>
      <c r="J24" s="943"/>
      <c r="K24" s="943"/>
      <c r="L24" s="6"/>
    </row>
    <row r="25" spans="1:12" ht="12.75" customHeight="1">
      <c r="A25" s="896"/>
      <c r="B25" s="942"/>
      <c r="C25" s="1485" t="s">
        <v>649</v>
      </c>
      <c r="D25" s="1486"/>
      <c r="E25" s="1486"/>
      <c r="F25" s="1486"/>
      <c r="G25" s="1486"/>
      <c r="H25" s="1486"/>
      <c r="I25" s="1486"/>
      <c r="J25" s="1486"/>
      <c r="K25" s="1487"/>
      <c r="L25" s="6"/>
    </row>
    <row r="26" spans="1:12" s="939" customFormat="1" ht="25.5">
      <c r="A26" s="941" t="s">
        <v>640</v>
      </c>
      <c r="B26" s="940" t="s">
        <v>639</v>
      </c>
      <c r="C26" s="918" t="s">
        <v>231</v>
      </c>
      <c r="D26" s="918" t="s">
        <v>648</v>
      </c>
      <c r="E26" s="918" t="s">
        <v>117</v>
      </c>
      <c r="F26" s="918" t="s">
        <v>647</v>
      </c>
      <c r="G26" s="918" t="s">
        <v>440</v>
      </c>
      <c r="H26" s="918" t="s">
        <v>646</v>
      </c>
      <c r="I26" s="918" t="s">
        <v>336</v>
      </c>
      <c r="J26" s="918" t="s">
        <v>645</v>
      </c>
      <c r="K26" s="917" t="s">
        <v>644</v>
      </c>
      <c r="L26" s="6"/>
    </row>
    <row r="27" spans="1:12" s="910" customFormat="1" ht="12.75">
      <c r="A27" s="907"/>
      <c r="B27" s="915" t="s">
        <v>634</v>
      </c>
      <c r="C27" s="914" t="s">
        <v>633</v>
      </c>
      <c r="D27" s="914" t="s">
        <v>632</v>
      </c>
      <c r="E27" s="914" t="s">
        <v>631</v>
      </c>
      <c r="F27" s="914" t="s">
        <v>630</v>
      </c>
      <c r="G27" s="914" t="s">
        <v>652</v>
      </c>
      <c r="H27" s="914" t="s">
        <v>653</v>
      </c>
      <c r="I27" s="914" t="s">
        <v>643</v>
      </c>
      <c r="J27" s="914" t="s">
        <v>642</v>
      </c>
      <c r="K27" s="938" t="s">
        <v>641</v>
      </c>
      <c r="L27" s="6"/>
    </row>
    <row r="28" spans="1:12" s="910" customFormat="1" ht="44.25" customHeight="1">
      <c r="A28" s="907"/>
      <c r="B28" s="915" t="s">
        <v>629</v>
      </c>
      <c r="C28" s="937" t="s">
        <v>381</v>
      </c>
      <c r="D28" s="937" t="s">
        <v>657</v>
      </c>
      <c r="E28" s="937" t="s">
        <v>382</v>
      </c>
      <c r="F28" s="937" t="s">
        <v>658</v>
      </c>
      <c r="G28" s="937" t="s">
        <v>509</v>
      </c>
      <c r="H28" s="937" t="s">
        <v>659</v>
      </c>
      <c r="I28" s="937" t="s">
        <v>483</v>
      </c>
      <c r="J28" s="937" t="s">
        <v>660</v>
      </c>
      <c r="K28" s="936" t="s">
        <v>510</v>
      </c>
      <c r="L28" s="6"/>
    </row>
    <row r="29" spans="1:12" ht="12.75">
      <c r="A29" s="907">
        <f>+A23+1</f>
        <v>15</v>
      </c>
      <c r="B29" s="934" t="s">
        <v>627</v>
      </c>
      <c r="C29" s="902">
        <v>1688144867</v>
      </c>
      <c r="D29" s="902">
        <v>107802088</v>
      </c>
      <c r="E29" s="902">
        <v>550438566</v>
      </c>
      <c r="F29" s="902">
        <v>0</v>
      </c>
      <c r="G29" s="902">
        <v>585424046</v>
      </c>
      <c r="H29" s="902">
        <v>0</v>
      </c>
      <c r="I29" s="902">
        <v>29524325</v>
      </c>
      <c r="J29" s="902">
        <v>157037</v>
      </c>
      <c r="K29" s="935">
        <v>99693424</v>
      </c>
      <c r="L29" s="6"/>
    </row>
    <row r="30" spans="1:12" ht="12.75">
      <c r="A30" s="907">
        <f>+A29+1</f>
        <v>16</v>
      </c>
      <c r="B30" s="934" t="s">
        <v>187</v>
      </c>
      <c r="C30" s="1145"/>
      <c r="D30" s="1145"/>
      <c r="E30" s="1145"/>
      <c r="F30" s="1145"/>
      <c r="G30" s="1145"/>
      <c r="H30" s="1145"/>
      <c r="I30" s="1145"/>
      <c r="J30" s="1145"/>
      <c r="K30" s="1147"/>
      <c r="L30" s="6"/>
    </row>
    <row r="31" spans="1:12" ht="12.75">
      <c r="A31" s="907">
        <f aca="true" t="shared" si="2" ref="A31:A42">+A30+1</f>
        <v>17</v>
      </c>
      <c r="B31" s="933" t="s">
        <v>563</v>
      </c>
      <c r="C31" s="1145"/>
      <c r="D31" s="1145"/>
      <c r="E31" s="1145"/>
      <c r="F31" s="1145"/>
      <c r="G31" s="1145"/>
      <c r="H31" s="1145"/>
      <c r="I31" s="1145"/>
      <c r="J31" s="1145"/>
      <c r="K31" s="1147"/>
      <c r="L31" s="6"/>
    </row>
    <row r="32" spans="1:12" ht="12.75">
      <c r="A32" s="907">
        <f t="shared" si="2"/>
        <v>18</v>
      </c>
      <c r="B32" s="933" t="s">
        <v>626</v>
      </c>
      <c r="C32" s="1145"/>
      <c r="D32" s="1145"/>
      <c r="E32" s="1145"/>
      <c r="F32" s="1145"/>
      <c r="G32" s="1145"/>
      <c r="H32" s="1145"/>
      <c r="I32" s="1145"/>
      <c r="J32" s="1145"/>
      <c r="K32" s="1147"/>
      <c r="L32" s="6"/>
    </row>
    <row r="33" spans="1:12" ht="12.75">
      <c r="A33" s="907">
        <f t="shared" si="2"/>
        <v>19</v>
      </c>
      <c r="B33" s="933" t="s">
        <v>189</v>
      </c>
      <c r="C33" s="1145"/>
      <c r="D33" s="1145"/>
      <c r="E33" s="1145"/>
      <c r="F33" s="1145"/>
      <c r="G33" s="1145"/>
      <c r="H33" s="1145"/>
      <c r="I33" s="1145"/>
      <c r="J33" s="1145"/>
      <c r="K33" s="1147"/>
      <c r="L33" s="6"/>
    </row>
    <row r="34" spans="1:12" ht="12.75">
      <c r="A34" s="907">
        <f t="shared" si="2"/>
        <v>20</v>
      </c>
      <c r="B34" s="933" t="s">
        <v>190</v>
      </c>
      <c r="C34" s="1145"/>
      <c r="D34" s="1145"/>
      <c r="E34" s="1145"/>
      <c r="F34" s="1145"/>
      <c r="G34" s="1145"/>
      <c r="H34" s="1145"/>
      <c r="I34" s="1145"/>
      <c r="J34" s="1145"/>
      <c r="K34" s="1147"/>
      <c r="L34" s="6"/>
    </row>
    <row r="35" spans="1:12" ht="12.75">
      <c r="A35" s="907">
        <f t="shared" si="2"/>
        <v>21</v>
      </c>
      <c r="B35" s="933" t="s">
        <v>384</v>
      </c>
      <c r="C35" s="1145"/>
      <c r="D35" s="1145"/>
      <c r="E35" s="1145"/>
      <c r="F35" s="1145"/>
      <c r="G35" s="1145"/>
      <c r="H35" s="1145"/>
      <c r="I35" s="1145"/>
      <c r="J35" s="1145"/>
      <c r="K35" s="1147"/>
      <c r="L35" s="6"/>
    </row>
    <row r="36" spans="1:12" ht="12.75">
      <c r="A36" s="907">
        <f t="shared" si="2"/>
        <v>22</v>
      </c>
      <c r="B36" s="933" t="s">
        <v>191</v>
      </c>
      <c r="C36" s="1145"/>
      <c r="D36" s="1145"/>
      <c r="E36" s="1145"/>
      <c r="F36" s="1145"/>
      <c r="G36" s="1145"/>
      <c r="H36" s="1145"/>
      <c r="I36" s="1145"/>
      <c r="J36" s="1145"/>
      <c r="K36" s="1147"/>
      <c r="L36" s="6"/>
    </row>
    <row r="37" spans="1:12" ht="12.75">
      <c r="A37" s="907">
        <f t="shared" si="2"/>
        <v>23</v>
      </c>
      <c r="B37" s="933" t="s">
        <v>625</v>
      </c>
      <c r="C37" s="1145"/>
      <c r="D37" s="1145"/>
      <c r="E37" s="1145"/>
      <c r="F37" s="1145"/>
      <c r="G37" s="1145"/>
      <c r="H37" s="1145"/>
      <c r="I37" s="1145"/>
      <c r="J37" s="1145"/>
      <c r="K37" s="1147"/>
      <c r="L37" s="6"/>
    </row>
    <row r="38" spans="1:12" ht="12.75">
      <c r="A38" s="907">
        <f t="shared" si="2"/>
        <v>24</v>
      </c>
      <c r="B38" s="933" t="s">
        <v>194</v>
      </c>
      <c r="C38" s="1145"/>
      <c r="D38" s="1145"/>
      <c r="E38" s="1145"/>
      <c r="F38" s="1145"/>
      <c r="G38" s="1145"/>
      <c r="H38" s="1145"/>
      <c r="I38" s="1145"/>
      <c r="J38" s="1145"/>
      <c r="K38" s="1147"/>
      <c r="L38" s="6"/>
    </row>
    <row r="39" spans="1:12" ht="12.75">
      <c r="A39" s="907">
        <f t="shared" si="2"/>
        <v>25</v>
      </c>
      <c r="B39" s="933" t="s">
        <v>564</v>
      </c>
      <c r="C39" s="1145"/>
      <c r="D39" s="1145"/>
      <c r="E39" s="1145"/>
      <c r="F39" s="1145"/>
      <c r="G39" s="1145"/>
      <c r="H39" s="1145"/>
      <c r="I39" s="1145"/>
      <c r="J39" s="1145"/>
      <c r="K39" s="1147"/>
      <c r="L39" s="6"/>
    </row>
    <row r="40" spans="1:12" ht="12.75">
      <c r="A40" s="907">
        <f t="shared" si="2"/>
        <v>26</v>
      </c>
      <c r="B40" s="933" t="s">
        <v>565</v>
      </c>
      <c r="C40" s="1145"/>
      <c r="D40" s="1145"/>
      <c r="E40" s="1145"/>
      <c r="F40" s="1145"/>
      <c r="G40" s="1145"/>
      <c r="H40" s="1145"/>
      <c r="I40" s="1145"/>
      <c r="J40" s="1145"/>
      <c r="K40" s="1147"/>
      <c r="L40" s="6"/>
    </row>
    <row r="41" spans="1:12" ht="12.75">
      <c r="A41" s="905">
        <f t="shared" si="2"/>
        <v>27</v>
      </c>
      <c r="B41" s="932" t="s">
        <v>624</v>
      </c>
      <c r="C41" s="902">
        <f>250518670+1386163641+30906706+2494026</f>
        <v>1670083043</v>
      </c>
      <c r="D41" s="902">
        <v>109867885.15</v>
      </c>
      <c r="E41" s="902">
        <v>515738257</v>
      </c>
      <c r="F41" s="902">
        <v>0</v>
      </c>
      <c r="G41" s="902">
        <v>608012876</v>
      </c>
      <c r="H41" s="902">
        <v>0</v>
      </c>
      <c r="I41" s="902">
        <v>30780145</v>
      </c>
      <c r="J41" s="902">
        <v>158847.87</v>
      </c>
      <c r="K41" s="931">
        <v>124105455</v>
      </c>
      <c r="L41" s="6"/>
    </row>
    <row r="42" spans="1:12" ht="13.5" thickBot="1">
      <c r="A42" s="930">
        <f t="shared" si="2"/>
        <v>28</v>
      </c>
      <c r="B42" s="1150" t="s">
        <v>771</v>
      </c>
      <c r="C42" s="928">
        <f>(C29+C41)/2</f>
        <v>1679113955</v>
      </c>
      <c r="D42" s="928">
        <f aca="true" t="shared" si="3" ref="D42:K42">(D29+D41)/2</f>
        <v>108834986.575</v>
      </c>
      <c r="E42" s="928">
        <f t="shared" si="3"/>
        <v>533088411.5</v>
      </c>
      <c r="F42" s="928">
        <f t="shared" si="3"/>
        <v>0</v>
      </c>
      <c r="G42" s="928">
        <f t="shared" si="3"/>
        <v>596718461</v>
      </c>
      <c r="H42" s="928">
        <f t="shared" si="3"/>
        <v>0</v>
      </c>
      <c r="I42" s="928">
        <f t="shared" si="3"/>
        <v>30152235</v>
      </c>
      <c r="J42" s="928">
        <f t="shared" si="3"/>
        <v>157942.435</v>
      </c>
      <c r="K42" s="927">
        <f t="shared" si="3"/>
        <v>111899439.5</v>
      </c>
      <c r="L42" s="6"/>
    </row>
    <row r="43" spans="1:12" ht="13.5" thickTop="1">
      <c r="A43" s="896"/>
      <c r="B43" s="895"/>
      <c r="C43" s="926"/>
      <c r="D43" s="893"/>
      <c r="E43" s="893"/>
      <c r="F43" s="893"/>
      <c r="G43" s="926"/>
      <c r="H43"/>
      <c r="I43"/>
      <c r="J43"/>
      <c r="K43"/>
      <c r="L43" s="6"/>
    </row>
    <row r="44" spans="1:9" ht="12.75">
      <c r="A44" s="896"/>
      <c r="B44" s="895"/>
      <c r="C44" s="926"/>
      <c r="D44" s="893"/>
      <c r="E44" s="893"/>
      <c r="F44" s="893"/>
      <c r="G44" s="926"/>
      <c r="H44" s="926"/>
      <c r="I44" s="926"/>
    </row>
    <row r="45" spans="1:12" ht="12.75">
      <c r="A45" s="925"/>
      <c r="B45" s="924"/>
      <c r="C45" s="923"/>
      <c r="D45" s="922"/>
      <c r="E45" s="922"/>
      <c r="F45" s="921"/>
      <c r="G45"/>
      <c r="H45"/>
      <c r="I45"/>
      <c r="J45"/>
      <c r="K45"/>
      <c r="L45" s="6"/>
    </row>
    <row r="46" spans="1:12" ht="72" customHeight="1">
      <c r="A46" s="920" t="s">
        <v>640</v>
      </c>
      <c r="B46" s="914" t="s">
        <v>639</v>
      </c>
      <c r="C46" s="919" t="s">
        <v>638</v>
      </c>
      <c r="D46" s="918" t="s">
        <v>637</v>
      </c>
      <c r="E46" s="918" t="s">
        <v>636</v>
      </c>
      <c r="F46" s="917" t="s">
        <v>635</v>
      </c>
      <c r="G46"/>
      <c r="H46"/>
      <c r="I46"/>
      <c r="J46"/>
      <c r="K46"/>
      <c r="L46" s="6"/>
    </row>
    <row r="47" spans="1:12" s="910" customFormat="1" ht="12.75">
      <c r="A47" s="907"/>
      <c r="B47" s="914" t="s">
        <v>634</v>
      </c>
      <c r="C47" s="916" t="s">
        <v>633</v>
      </c>
      <c r="D47" s="914" t="s">
        <v>632</v>
      </c>
      <c r="E47" s="914" t="s">
        <v>631</v>
      </c>
      <c r="F47" s="915" t="s">
        <v>630</v>
      </c>
      <c r="G47"/>
      <c r="H47"/>
      <c r="I47"/>
      <c r="J47"/>
      <c r="K47"/>
      <c r="L47" s="6"/>
    </row>
    <row r="48" spans="1:12" s="910" customFormat="1" ht="63.75">
      <c r="A48" s="907"/>
      <c r="B48" s="914" t="s">
        <v>629</v>
      </c>
      <c r="C48" s="913" t="s">
        <v>661</v>
      </c>
      <c r="D48" s="913" t="s">
        <v>662</v>
      </c>
      <c r="E48" s="912" t="s">
        <v>628</v>
      </c>
      <c r="F48" s="911" t="s">
        <v>628</v>
      </c>
      <c r="G48"/>
      <c r="H48"/>
      <c r="I48"/>
      <c r="J48"/>
      <c r="K48"/>
      <c r="L48" s="6"/>
    </row>
    <row r="49" spans="1:12" ht="12.75">
      <c r="A49" s="907">
        <f>+A42+1</f>
        <v>29</v>
      </c>
      <c r="B49" s="908" t="s">
        <v>627</v>
      </c>
      <c r="C49" s="909">
        <v>58644708</v>
      </c>
      <c r="D49" s="902">
        <v>6610982</v>
      </c>
      <c r="E49" s="902">
        <v>0</v>
      </c>
      <c r="F49" s="901">
        <v>0</v>
      </c>
      <c r="G49"/>
      <c r="H49"/>
      <c r="I49"/>
      <c r="J49"/>
      <c r="K49"/>
      <c r="L49" s="6"/>
    </row>
    <row r="50" spans="1:12" ht="12.75">
      <c r="A50" s="907">
        <f>+A49+1</f>
        <v>30</v>
      </c>
      <c r="B50" s="908" t="s">
        <v>187</v>
      </c>
      <c r="C50" s="1148"/>
      <c r="D50" s="1145"/>
      <c r="E50" s="1145"/>
      <c r="F50" s="1147"/>
      <c r="G50"/>
      <c r="H50"/>
      <c r="I50"/>
      <c r="J50"/>
      <c r="K50"/>
      <c r="L50" s="6"/>
    </row>
    <row r="51" spans="1:12" ht="12.75">
      <c r="A51" s="907">
        <f aca="true" t="shared" si="4" ref="A51:A62">+A50+1</f>
        <v>31</v>
      </c>
      <c r="B51" s="906" t="s">
        <v>563</v>
      </c>
      <c r="C51" s="1148"/>
      <c r="D51" s="1145"/>
      <c r="E51" s="1145"/>
      <c r="F51" s="1147"/>
      <c r="G51"/>
      <c r="H51"/>
      <c r="I51"/>
      <c r="J51"/>
      <c r="K51"/>
      <c r="L51" s="6"/>
    </row>
    <row r="52" spans="1:12" ht="12.75">
      <c r="A52" s="907">
        <f t="shared" si="4"/>
        <v>32</v>
      </c>
      <c r="B52" s="906" t="s">
        <v>626</v>
      </c>
      <c r="C52" s="1148"/>
      <c r="D52" s="1145"/>
      <c r="E52" s="1145"/>
      <c r="F52" s="1147"/>
      <c r="G52"/>
      <c r="H52"/>
      <c r="I52"/>
      <c r="J52"/>
      <c r="K52"/>
      <c r="L52" s="6"/>
    </row>
    <row r="53" spans="1:12" ht="12.75">
      <c r="A53" s="907">
        <f t="shared" si="4"/>
        <v>33</v>
      </c>
      <c r="B53" s="906" t="s">
        <v>189</v>
      </c>
      <c r="C53" s="1148"/>
      <c r="D53" s="1145"/>
      <c r="E53" s="1145"/>
      <c r="F53" s="1147"/>
      <c r="G53"/>
      <c r="H53"/>
      <c r="I53"/>
      <c r="J53"/>
      <c r="K53"/>
      <c r="L53" s="6"/>
    </row>
    <row r="54" spans="1:12" ht="12.75">
      <c r="A54" s="907">
        <f t="shared" si="4"/>
        <v>34</v>
      </c>
      <c r="B54" s="906" t="s">
        <v>190</v>
      </c>
      <c r="C54" s="1148"/>
      <c r="D54" s="1145"/>
      <c r="E54" s="1145"/>
      <c r="F54" s="1147"/>
      <c r="G54"/>
      <c r="H54"/>
      <c r="I54"/>
      <c r="J54"/>
      <c r="K54"/>
      <c r="L54" s="6"/>
    </row>
    <row r="55" spans="1:12" ht="12.75">
      <c r="A55" s="907">
        <f t="shared" si="4"/>
        <v>35</v>
      </c>
      <c r="B55" s="906" t="s">
        <v>384</v>
      </c>
      <c r="C55" s="1148"/>
      <c r="D55" s="1145"/>
      <c r="E55" s="1145"/>
      <c r="F55" s="1147"/>
      <c r="G55"/>
      <c r="H55"/>
      <c r="I55"/>
      <c r="J55"/>
      <c r="K55"/>
      <c r="L55" s="6"/>
    </row>
    <row r="56" spans="1:12" ht="12.75">
      <c r="A56" s="907">
        <f t="shared" si="4"/>
        <v>36</v>
      </c>
      <c r="B56" s="906" t="s">
        <v>191</v>
      </c>
      <c r="C56" s="1148"/>
      <c r="D56" s="1145"/>
      <c r="E56" s="1145"/>
      <c r="F56" s="1147"/>
      <c r="G56"/>
      <c r="H56"/>
      <c r="I56"/>
      <c r="J56"/>
      <c r="K56"/>
      <c r="L56" s="6"/>
    </row>
    <row r="57" spans="1:12" ht="12.75">
      <c r="A57" s="907">
        <f t="shared" si="4"/>
        <v>37</v>
      </c>
      <c r="B57" s="906" t="s">
        <v>625</v>
      </c>
      <c r="C57" s="1148"/>
      <c r="D57" s="1145"/>
      <c r="E57" s="1145"/>
      <c r="F57" s="1147"/>
      <c r="G57"/>
      <c r="H57"/>
      <c r="I57"/>
      <c r="J57"/>
      <c r="K57"/>
      <c r="L57" s="6"/>
    </row>
    <row r="58" spans="1:12" ht="12.75">
      <c r="A58" s="907">
        <f t="shared" si="4"/>
        <v>38</v>
      </c>
      <c r="B58" s="906" t="s">
        <v>194</v>
      </c>
      <c r="C58" s="1148"/>
      <c r="D58" s="1145"/>
      <c r="E58" s="1145"/>
      <c r="F58" s="1147"/>
      <c r="G58"/>
      <c r="H58"/>
      <c r="I58"/>
      <c r="J58"/>
      <c r="K58"/>
      <c r="L58" s="6"/>
    </row>
    <row r="59" spans="1:12" ht="12.75">
      <c r="A59" s="907">
        <f t="shared" si="4"/>
        <v>39</v>
      </c>
      <c r="B59" s="906" t="s">
        <v>564</v>
      </c>
      <c r="C59" s="1148"/>
      <c r="D59" s="1145"/>
      <c r="E59" s="1145"/>
      <c r="F59" s="1147"/>
      <c r="G59"/>
      <c r="H59"/>
      <c r="I59"/>
      <c r="J59"/>
      <c r="K59"/>
      <c r="L59" s="6"/>
    </row>
    <row r="60" spans="1:12" ht="12.75">
      <c r="A60" s="907">
        <f t="shared" si="4"/>
        <v>40</v>
      </c>
      <c r="B60" s="906" t="s">
        <v>565</v>
      </c>
      <c r="C60" s="1148"/>
      <c r="D60" s="1145"/>
      <c r="E60" s="1145">
        <v>0</v>
      </c>
      <c r="F60" s="1147"/>
      <c r="G60"/>
      <c r="H60"/>
      <c r="I60"/>
      <c r="J60"/>
      <c r="K60"/>
      <c r="L60" s="6"/>
    </row>
    <row r="61" spans="1:12" ht="12.75">
      <c r="A61" s="905">
        <f t="shared" si="4"/>
        <v>41</v>
      </c>
      <c r="B61" s="904" t="s">
        <v>624</v>
      </c>
      <c r="C61" s="903">
        <f>20003943.1+38640268.68</f>
        <v>58644211.78</v>
      </c>
      <c r="D61" s="902">
        <f>943185.87+6784168.12</f>
        <v>7727353.99</v>
      </c>
      <c r="E61" s="902">
        <v>0</v>
      </c>
      <c r="F61" s="901">
        <v>0</v>
      </c>
      <c r="G61"/>
      <c r="H61"/>
      <c r="I61"/>
      <c r="J61"/>
      <c r="K61"/>
      <c r="L61" s="6"/>
    </row>
    <row r="62" spans="1:12" ht="13.5" thickBot="1">
      <c r="A62" s="900">
        <f t="shared" si="4"/>
        <v>42</v>
      </c>
      <c r="B62" s="1150" t="s">
        <v>771</v>
      </c>
      <c r="C62" s="899">
        <f>(C49+C61)/2</f>
        <v>58644459.89</v>
      </c>
      <c r="D62" s="898">
        <f>(D49+D61)/2</f>
        <v>7169167.995</v>
      </c>
      <c r="E62" s="898">
        <f>(E49+E61)/2</f>
        <v>0</v>
      </c>
      <c r="F62" s="897">
        <f>(F49+F61)/2</f>
        <v>0</v>
      </c>
      <c r="G62"/>
      <c r="H62"/>
      <c r="I62"/>
      <c r="J62"/>
      <c r="K62"/>
      <c r="L62" s="6"/>
    </row>
    <row r="63" spans="1:11" ht="13.5" thickTop="1">
      <c r="A63" s="896"/>
      <c r="B63" s="895"/>
      <c r="D63" s="894"/>
      <c r="G63"/>
      <c r="H63"/>
      <c r="I63"/>
      <c r="J63"/>
      <c r="K63"/>
    </row>
    <row r="64" spans="1:11" ht="12.75">
      <c r="A64" s="896">
        <v>43</v>
      </c>
      <c r="B64" s="895" t="s">
        <v>623</v>
      </c>
      <c r="D64" s="894">
        <f>+E42-D62</f>
        <v>525919243.505</v>
      </c>
      <c r="I64" s="893"/>
      <c r="K64" s="6"/>
    </row>
    <row r="65" ht="12.75"/>
    <row r="66" spans="2:7" ht="12.75">
      <c r="B66" s="283"/>
      <c r="C66" s="284"/>
      <c r="D66" s="285"/>
      <c r="E66" s="64"/>
      <c r="F66" s="64"/>
      <c r="G66" s="78"/>
    </row>
    <row r="67" spans="1:7" ht="25.5">
      <c r="A67" s="952" t="s">
        <v>3</v>
      </c>
      <c r="B67" s="283"/>
      <c r="C67" s="949" t="s">
        <v>2</v>
      </c>
      <c r="D67" s="950" t="str">
        <f>"Balance @ December 31, "&amp;'I&amp;M TCOS'!L2&amp;""</f>
        <v>Balance @ December 31, 2017</v>
      </c>
      <c r="E67" s="951" t="str">
        <f>"Balance @ December 31, "&amp;'I&amp;M TCOS'!L2-1&amp;""</f>
        <v>Balance @ December 31, 2016</v>
      </c>
      <c r="F67" s="951" t="str">
        <f>"Average Balance for "&amp;'I&amp;M TCOS'!L2&amp;""</f>
        <v>Average Balance for 2017</v>
      </c>
      <c r="G67" s="78"/>
    </row>
    <row r="68" spans="1:7" ht="12.75">
      <c r="A68" s="83"/>
      <c r="B68" s="914" t="s">
        <v>634</v>
      </c>
      <c r="C68" s="914" t="s">
        <v>633</v>
      </c>
      <c r="D68" s="914" t="s">
        <v>632</v>
      </c>
      <c r="E68" s="914" t="s">
        <v>631</v>
      </c>
      <c r="F68" s="914" t="s">
        <v>630</v>
      </c>
      <c r="G68" s="78"/>
    </row>
    <row r="69" spans="1:6" ht="12.75">
      <c r="A69" s="286">
        <f>+A64+1</f>
        <v>44</v>
      </c>
      <c r="B69" s="83" t="s">
        <v>3</v>
      </c>
      <c r="C69" s="289" t="s">
        <v>376</v>
      </c>
      <c r="D69" s="1337">
        <v>1444928.14</v>
      </c>
      <c r="E69" s="1337">
        <v>5641570</v>
      </c>
      <c r="F69" s="132">
        <f>IF(E69="",0,AVERAGE(D69:E69))</f>
        <v>3543249.07</v>
      </c>
    </row>
    <row r="70" spans="1:6" ht="12.75">
      <c r="A70" s="282"/>
      <c r="B70" s="290"/>
      <c r="C70" s="290"/>
      <c r="F70" s="78"/>
    </row>
    <row r="71" spans="1:6" ht="12.75">
      <c r="A71" s="281">
        <f>+A69+1</f>
        <v>45</v>
      </c>
      <c r="B71" s="83" t="s">
        <v>769</v>
      </c>
      <c r="C71" s="297" t="s">
        <v>68</v>
      </c>
      <c r="D71" s="1337">
        <v>208360</v>
      </c>
      <c r="E71" s="1337">
        <v>208360</v>
      </c>
      <c r="F71" s="132">
        <f>IF(E71="",0,AVERAGE(D71:E71))</f>
        <v>208360</v>
      </c>
    </row>
    <row r="72" spans="1:4" ht="12.75">
      <c r="A72" s="239"/>
      <c r="B72" s="239"/>
      <c r="C72" s="239"/>
      <c r="D72" s="239"/>
    </row>
    <row r="73" spans="1:4" ht="12.75">
      <c r="A73" s="83" t="s">
        <v>238</v>
      </c>
      <c r="B73" s="239"/>
      <c r="C73" s="239"/>
      <c r="D73" s="239"/>
    </row>
    <row r="74" spans="1:6" ht="12.75">
      <c r="A74" s="287"/>
      <c r="B74" s="288" t="s">
        <v>362</v>
      </c>
      <c r="C74" s="288"/>
      <c r="D74" s="72"/>
      <c r="E74" s="72"/>
      <c r="F74" s="72"/>
    </row>
    <row r="75" spans="1:6" ht="12.75">
      <c r="A75" s="286">
        <f>+A71+1</f>
        <v>46</v>
      </c>
      <c r="B75" s="836"/>
      <c r="C75" s="836"/>
      <c r="D75" s="835"/>
      <c r="E75" s="835"/>
      <c r="F75" s="132">
        <f>IF(E75="",0,AVERAGE(D75:E75))</f>
        <v>0</v>
      </c>
    </row>
    <row r="76" spans="1:6" ht="12.75">
      <c r="A76" s="286">
        <f>+A75+1</f>
        <v>47</v>
      </c>
      <c r="B76" s="836"/>
      <c r="C76" s="836"/>
      <c r="D76" s="835"/>
      <c r="E76" s="835"/>
      <c r="F76" s="132">
        <f>IF(E76="",0,AVERAGE(D76:E76))</f>
        <v>0</v>
      </c>
    </row>
    <row r="77" spans="1:6" ht="12.75">
      <c r="A77" s="286">
        <f>+A76+1</f>
        <v>48</v>
      </c>
      <c r="B77" s="836"/>
      <c r="C77" s="836"/>
      <c r="D77" s="835"/>
      <c r="E77" s="835"/>
      <c r="F77" s="132">
        <f>IF(E77="",0,AVERAGE(D77:E77))</f>
        <v>0</v>
      </c>
    </row>
    <row r="78" spans="1:6" ht="12.75">
      <c r="A78" s="286">
        <f>+A77+1</f>
        <v>49</v>
      </c>
      <c r="B78" s="836"/>
      <c r="C78" s="836"/>
      <c r="D78" s="835"/>
      <c r="E78" s="835"/>
      <c r="F78" s="132">
        <f>IF(E78="",0,AVERAGE(D78:E78))</f>
        <v>0</v>
      </c>
    </row>
    <row r="79" spans="1:6" ht="12.75">
      <c r="A79" s="286">
        <f>+A78+1</f>
        <v>50</v>
      </c>
      <c r="B79" s="836"/>
      <c r="C79" s="836"/>
      <c r="D79" s="837"/>
      <c r="E79" s="837"/>
      <c r="F79" s="957">
        <f>IF(E79="",0,AVERAGE(D79:E79))</f>
        <v>0</v>
      </c>
    </row>
    <row r="80" spans="1:6" ht="12.75">
      <c r="A80" s="286">
        <f>+A79+1</f>
        <v>51</v>
      </c>
      <c r="B80" s="288" t="s">
        <v>499</v>
      </c>
      <c r="C80" s="288"/>
      <c r="D80" s="185">
        <f>SUM(D75:D79)</f>
        <v>0</v>
      </c>
      <c r="E80" s="185">
        <f>SUM(E75:E79)</f>
        <v>0</v>
      </c>
      <c r="F80" s="185">
        <f>SUM(F75:F79)</f>
        <v>0</v>
      </c>
    </row>
    <row r="81" spans="1:6" ht="12.75">
      <c r="A81" s="286"/>
      <c r="B81" s="288"/>
      <c r="C81" s="288"/>
      <c r="D81" s="185"/>
      <c r="E81" s="185"/>
      <c r="F81" s="185"/>
    </row>
    <row r="82" spans="1:7" ht="18">
      <c r="A82" s="83" t="s">
        <v>746</v>
      </c>
      <c r="B82" s="889"/>
      <c r="C82" s="889"/>
      <c r="D82" s="889"/>
      <c r="E82" s="72"/>
      <c r="F82" s="72"/>
      <c r="G82" s="72"/>
    </row>
    <row r="83" spans="1:7" ht="12.75">
      <c r="A83" s="69"/>
      <c r="B83" s="245"/>
      <c r="C83" s="248"/>
      <c r="D83" s="8"/>
      <c r="E83" s="72"/>
      <c r="F83" s="72"/>
      <c r="G83" s="72"/>
    </row>
    <row r="84" spans="1:7" ht="12.75">
      <c r="A84" s="69">
        <f>+A80+1</f>
        <v>52</v>
      </c>
      <c r="B84" s="13" t="s">
        <v>169</v>
      </c>
      <c r="C84" s="13" t="s">
        <v>308</v>
      </c>
      <c r="D84" s="953"/>
      <c r="E84" s="21"/>
      <c r="F84" s="13"/>
      <c r="G84" s="21"/>
    </row>
    <row r="85" spans="1:7" ht="14.25">
      <c r="A85" s="954" t="s">
        <v>739</v>
      </c>
      <c r="B85" s="836" t="s">
        <v>980</v>
      </c>
      <c r="C85" s="1437">
        <v>2282003</v>
      </c>
      <c r="D85" s="1337">
        <v>47070.64</v>
      </c>
      <c r="E85" s="1337">
        <v>135953.92</v>
      </c>
      <c r="F85" s="958">
        <f>IF(E85="",0,AVERAGE(D85:E85))</f>
        <v>91512.28</v>
      </c>
      <c r="G85" s="21"/>
    </row>
    <row r="86" spans="1:7" ht="14.25">
      <c r="A86" s="955" t="s">
        <v>740</v>
      </c>
      <c r="B86" s="1435"/>
      <c r="C86" s="1436"/>
      <c r="D86" s="1435"/>
      <c r="E86" s="1435"/>
      <c r="F86" s="959">
        <f>IF(E86="",0,AVERAGE(D86:E86))</f>
        <v>0</v>
      </c>
      <c r="G86" s="21"/>
    </row>
    <row r="87" spans="1:7" ht="18" customHeight="1">
      <c r="A87" s="956">
        <v>54</v>
      </c>
      <c r="B87" s="21"/>
      <c r="C87" s="5" t="s">
        <v>120</v>
      </c>
      <c r="D87" s="894">
        <f>SUM(D85:D86)</f>
        <v>47070.64</v>
      </c>
      <c r="E87" s="894">
        <f>SUM(E85:E86)</f>
        <v>135953.92</v>
      </c>
      <c r="F87" s="894">
        <f>SUM(F85:F86)</f>
        <v>91512.28</v>
      </c>
      <c r="G87" s="21"/>
    </row>
    <row r="88" spans="1:7" ht="12.75">
      <c r="A88" s="286"/>
      <c r="B88" s="288"/>
      <c r="C88" s="288"/>
      <c r="D88" s="288"/>
      <c r="G88" s="21"/>
    </row>
    <row r="89" spans="1:7" ht="12.75">
      <c r="A89" s="948" t="s">
        <v>665</v>
      </c>
      <c r="B89" s="288"/>
      <c r="C89" s="288"/>
      <c r="D89" s="288"/>
      <c r="G89" s="953"/>
    </row>
    <row r="90" spans="1:4" ht="12.75">
      <c r="A90" s="948" t="s">
        <v>664</v>
      </c>
      <c r="B90" s="288"/>
      <c r="C90" s="288"/>
      <c r="D90" s="288"/>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J30" sqref="J30"/>
    </sheetView>
  </sheetViews>
  <sheetFormatPr defaultColWidth="9.140625" defaultRowHeight="12.75"/>
  <cols>
    <col min="1" max="1" width="31.00390625" style="1144" customWidth="1"/>
    <col min="2" max="2" width="9.140625" style="1144" customWidth="1"/>
    <col min="3" max="3" width="11.8515625" style="1144" customWidth="1"/>
    <col min="4" max="4" width="13.00390625" style="1144" customWidth="1"/>
    <col min="5" max="5" width="12.57421875" style="1144" customWidth="1"/>
    <col min="6" max="6" width="9.140625" style="1144" customWidth="1"/>
    <col min="7" max="7" width="12.140625" style="1144" customWidth="1"/>
    <col min="8" max="8" width="11.57421875" style="1144" customWidth="1"/>
    <col min="9" max="9" width="11.00390625" style="1144" customWidth="1"/>
    <col min="10" max="10" width="9.140625" style="1144" customWidth="1"/>
    <col min="11" max="11" width="10.7109375" style="1144" customWidth="1"/>
    <col min="12" max="12" width="12.57421875" style="1144" customWidth="1"/>
    <col min="13" max="13" width="12.8515625" style="1144" customWidth="1"/>
    <col min="14" max="16384" width="9.140625" style="1144" customWidth="1"/>
  </cols>
  <sheetData>
    <row r="1" spans="1:7" s="1330" customFormat="1" ht="15.75">
      <c r="A1" s="888" t="s">
        <v>618</v>
      </c>
      <c r="G1" s="1327"/>
    </row>
    <row r="2" spans="1:7" s="1330" customFormat="1" ht="15.75">
      <c r="A2" s="888" t="s">
        <v>619</v>
      </c>
      <c r="G2" s="1327"/>
    </row>
    <row r="3" spans="1:15" ht="19.5">
      <c r="A3" s="1555" t="s">
        <v>393</v>
      </c>
      <c r="B3" s="1555"/>
      <c r="C3" s="1555"/>
      <c r="D3" s="1555"/>
      <c r="E3" s="1555"/>
      <c r="F3" s="1555"/>
      <c r="G3" s="1555"/>
      <c r="H3" s="1555"/>
      <c r="I3" s="1555"/>
      <c r="J3" s="1555"/>
      <c r="K3" s="1555"/>
      <c r="L3" s="1555"/>
      <c r="M3" s="1555"/>
      <c r="N3" s="1555"/>
      <c r="O3" s="1555"/>
    </row>
    <row r="4" spans="1:15" ht="19.5">
      <c r="A4" s="1555" t="s">
        <v>394</v>
      </c>
      <c r="B4" s="1555"/>
      <c r="C4" s="1555"/>
      <c r="D4" s="1555"/>
      <c r="E4" s="1555"/>
      <c r="F4" s="1555"/>
      <c r="G4" s="1555"/>
      <c r="H4" s="1555"/>
      <c r="I4" s="1555"/>
      <c r="J4" s="1555"/>
      <c r="K4" s="1555"/>
      <c r="L4" s="1555"/>
      <c r="M4" s="1555"/>
      <c r="N4" s="1555"/>
      <c r="O4" s="1555"/>
    </row>
    <row r="5" spans="1:15" ht="19.5">
      <c r="A5" s="1555" t="s">
        <v>395</v>
      </c>
      <c r="B5" s="1555"/>
      <c r="C5" s="1555"/>
      <c r="D5" s="1555"/>
      <c r="E5" s="1555"/>
      <c r="F5" s="1555"/>
      <c r="G5" s="1555"/>
      <c r="H5" s="1555"/>
      <c r="I5" s="1555"/>
      <c r="J5" s="1555"/>
      <c r="K5" s="1555"/>
      <c r="L5" s="1555"/>
      <c r="M5" s="1555"/>
      <c r="N5" s="1555"/>
      <c r="O5" s="1555"/>
    </row>
    <row r="6" spans="1:15" ht="19.5">
      <c r="A6" s="1555" t="s">
        <v>396</v>
      </c>
      <c r="B6" s="1555"/>
      <c r="C6" s="1555"/>
      <c r="D6" s="1555"/>
      <c r="E6" s="1555"/>
      <c r="F6" s="1555"/>
      <c r="G6" s="1555"/>
      <c r="H6" s="1555"/>
      <c r="I6" s="1555"/>
      <c r="J6" s="1555"/>
      <c r="K6" s="1555"/>
      <c r="L6" s="1555"/>
      <c r="M6" s="1555"/>
      <c r="N6" s="1555"/>
      <c r="O6" s="1555"/>
    </row>
    <row r="7" spans="1:15" ht="19.5">
      <c r="A7" s="1555" t="s">
        <v>882</v>
      </c>
      <c r="B7" s="1555"/>
      <c r="C7" s="1555"/>
      <c r="D7" s="1555"/>
      <c r="E7" s="1555"/>
      <c r="F7" s="1555"/>
      <c r="G7" s="1555"/>
      <c r="H7" s="1555"/>
      <c r="I7" s="1555"/>
      <c r="J7" s="1555"/>
      <c r="K7" s="1555"/>
      <c r="L7" s="1555"/>
      <c r="M7" s="1555"/>
      <c r="N7" s="1555"/>
      <c r="O7" s="1555"/>
    </row>
    <row r="8" spans="1:15" ht="19.5">
      <c r="A8" s="1555" t="s">
        <v>397</v>
      </c>
      <c r="B8" s="1555"/>
      <c r="C8" s="1555"/>
      <c r="D8" s="1555"/>
      <c r="E8" s="1555"/>
      <c r="F8" s="1555"/>
      <c r="G8" s="1555"/>
      <c r="H8" s="1555"/>
      <c r="I8" s="1555"/>
      <c r="J8" s="1555"/>
      <c r="K8" s="1555"/>
      <c r="L8" s="1555"/>
      <c r="M8" s="1555"/>
      <c r="N8" s="1555"/>
      <c r="O8" s="1555"/>
    </row>
    <row r="9" spans="1:15" ht="19.5">
      <c r="A9" s="1555" t="s">
        <v>881</v>
      </c>
      <c r="B9" s="1555"/>
      <c r="C9" s="1555"/>
      <c r="D9" s="1555"/>
      <c r="E9" s="1555"/>
      <c r="F9" s="1555"/>
      <c r="G9" s="1555"/>
      <c r="H9" s="1555"/>
      <c r="I9" s="1555"/>
      <c r="J9" s="1555"/>
      <c r="K9" s="1555"/>
      <c r="L9" s="1555"/>
      <c r="M9" s="1555"/>
      <c r="N9" s="1555"/>
      <c r="O9" s="1555"/>
    </row>
    <row r="10" spans="1:15" ht="19.5">
      <c r="A10" s="1558"/>
      <c r="B10" s="1558"/>
      <c r="C10" s="1558"/>
      <c r="D10" s="1558"/>
      <c r="E10" s="1558"/>
      <c r="F10" s="1558"/>
      <c r="G10" s="1558"/>
      <c r="H10" s="1558"/>
      <c r="I10" s="1558"/>
      <c r="J10" s="1558"/>
      <c r="K10" s="1558"/>
      <c r="L10" s="1558"/>
      <c r="M10" s="1558"/>
      <c r="N10" s="1558"/>
      <c r="O10" s="1558"/>
    </row>
    <row r="11" spans="1:15" ht="16.5" thickBot="1">
      <c r="A11" s="1320"/>
      <c r="B11" s="1320"/>
      <c r="C11" s="1559" t="s">
        <v>883</v>
      </c>
      <c r="D11" s="1559"/>
      <c r="E11" s="1559"/>
      <c r="F11" s="1320"/>
      <c r="G11" s="1559" t="s">
        <v>884</v>
      </c>
      <c r="H11" s="1559"/>
      <c r="I11" s="1559"/>
      <c r="J11" s="1320"/>
      <c r="K11" s="1559" t="s">
        <v>398</v>
      </c>
      <c r="L11" s="1559"/>
      <c r="M11" s="1559"/>
      <c r="N11" s="1320"/>
      <c r="O11" s="1319" t="s">
        <v>399</v>
      </c>
    </row>
    <row r="12" spans="1:15" ht="15.75">
      <c r="A12" s="1318"/>
      <c r="B12" s="1320"/>
      <c r="C12" s="1317" t="s">
        <v>123</v>
      </c>
      <c r="D12" s="1316"/>
      <c r="E12" s="1316"/>
      <c r="F12" s="1316"/>
      <c r="G12" s="1315" t="s">
        <v>124</v>
      </c>
      <c r="H12" s="1314"/>
      <c r="I12" s="1314"/>
      <c r="J12" s="1314"/>
      <c r="K12" s="1313">
        <v>-3</v>
      </c>
      <c r="L12" s="1314"/>
      <c r="M12" s="1314"/>
      <c r="N12" s="1314"/>
      <c r="O12" s="1314"/>
    </row>
    <row r="13" spans="1:15" ht="15">
      <c r="A13" s="1320"/>
      <c r="B13" s="1320"/>
      <c r="C13" s="1317" t="s">
        <v>116</v>
      </c>
      <c r="D13" s="1316"/>
      <c r="E13" s="1317" t="s">
        <v>400</v>
      </c>
      <c r="F13" s="1316"/>
      <c r="G13" s="1315" t="s">
        <v>885</v>
      </c>
      <c r="H13" s="1316"/>
      <c r="I13" s="1317" t="s">
        <v>400</v>
      </c>
      <c r="J13" s="1316"/>
      <c r="K13" s="1312"/>
      <c r="L13" s="1316"/>
      <c r="M13" s="1317" t="s">
        <v>400</v>
      </c>
      <c r="N13" s="1316"/>
      <c r="O13" s="1317" t="s">
        <v>400</v>
      </c>
    </row>
    <row r="14" spans="1:15" ht="15">
      <c r="A14" s="1320"/>
      <c r="B14" s="1317" t="s">
        <v>401</v>
      </c>
      <c r="C14" s="1317" t="s">
        <v>886</v>
      </c>
      <c r="D14" s="1317" t="s">
        <v>402</v>
      </c>
      <c r="E14" s="1317" t="s">
        <v>403</v>
      </c>
      <c r="F14" s="1316"/>
      <c r="G14" s="1315" t="s">
        <v>404</v>
      </c>
      <c r="H14" s="1317" t="s">
        <v>402</v>
      </c>
      <c r="I14" s="1317" t="s">
        <v>403</v>
      </c>
      <c r="J14" s="1316"/>
      <c r="K14" s="1317" t="s">
        <v>81</v>
      </c>
      <c r="L14" s="1317" t="s">
        <v>402</v>
      </c>
      <c r="M14" s="1317" t="s">
        <v>403</v>
      </c>
      <c r="N14" s="1316"/>
      <c r="O14" s="1317" t="s">
        <v>403</v>
      </c>
    </row>
    <row r="15" spans="1:15" ht="15">
      <c r="A15" s="1317"/>
      <c r="B15" s="1317" t="s">
        <v>405</v>
      </c>
      <c r="C15" s="1317" t="s">
        <v>406</v>
      </c>
      <c r="D15" s="1317" t="s">
        <v>887</v>
      </c>
      <c r="E15" s="1317" t="s">
        <v>407</v>
      </c>
      <c r="F15" s="1316"/>
      <c r="G15" s="1315" t="s">
        <v>406</v>
      </c>
      <c r="H15" s="1317" t="s">
        <v>887</v>
      </c>
      <c r="I15" s="1317" t="s">
        <v>407</v>
      </c>
      <c r="J15" s="1316"/>
      <c r="K15" s="1317" t="s">
        <v>406</v>
      </c>
      <c r="L15" s="1317" t="s">
        <v>887</v>
      </c>
      <c r="M15" s="1317" t="s">
        <v>407</v>
      </c>
      <c r="N15" s="1316"/>
      <c r="O15" s="1317" t="s">
        <v>407</v>
      </c>
    </row>
    <row r="16" spans="1:15" ht="15">
      <c r="A16" s="1312"/>
      <c r="B16" s="1312"/>
      <c r="C16" s="1312"/>
      <c r="D16" s="1312"/>
      <c r="E16" s="1312"/>
      <c r="F16" s="1312"/>
      <c r="G16" s="1311"/>
      <c r="H16" s="1312"/>
      <c r="I16" s="1312"/>
      <c r="J16" s="1312"/>
      <c r="K16" s="1312"/>
      <c r="L16" s="1312"/>
      <c r="M16" s="1312"/>
      <c r="N16" s="1312"/>
      <c r="O16" s="1312"/>
    </row>
    <row r="17" spans="1:15" ht="15.75" thickBot="1">
      <c r="A17" s="1310"/>
      <c r="B17" s="1320"/>
      <c r="C17" s="1321"/>
      <c r="D17" s="1320"/>
      <c r="E17" s="1320"/>
      <c r="F17" s="1320"/>
      <c r="G17" s="1309"/>
      <c r="H17" s="1320"/>
      <c r="I17" s="1320"/>
      <c r="J17" s="1320"/>
      <c r="K17" s="1309"/>
      <c r="L17" s="1320"/>
      <c r="M17" s="1320"/>
      <c r="N17" s="1320"/>
      <c r="O17" s="1320"/>
    </row>
    <row r="18" spans="1:15" ht="15">
      <c r="A18" s="1308" t="s">
        <v>408</v>
      </c>
      <c r="B18" s="1307"/>
      <c r="C18" s="1322"/>
      <c r="D18" s="1323"/>
      <c r="E18" s="1324"/>
      <c r="F18" s="1307"/>
      <c r="G18" s="1324"/>
      <c r="H18" s="1325"/>
      <c r="I18" s="1324"/>
      <c r="J18" s="1307"/>
      <c r="K18" s="1324"/>
      <c r="L18" s="1325"/>
      <c r="M18" s="1324"/>
      <c r="N18" s="1307"/>
      <c r="O18" s="1324"/>
    </row>
    <row r="19" spans="1:15" ht="15">
      <c r="A19" s="1312" t="s">
        <v>888</v>
      </c>
      <c r="B19" s="1326">
        <v>350.1</v>
      </c>
      <c r="C19" s="1327">
        <v>0.0127</v>
      </c>
      <c r="D19" s="1328">
        <v>0.646552</v>
      </c>
      <c r="E19" s="1327">
        <f aca="true" t="shared" si="0" ref="E19:E27">ROUND((C19*D19),6)</f>
        <v>0.008211</v>
      </c>
      <c r="F19" s="1306"/>
      <c r="G19" s="1327">
        <v>0.0117</v>
      </c>
      <c r="H19" s="1328">
        <v>0.139381</v>
      </c>
      <c r="I19" s="1327">
        <f aca="true" t="shared" si="1" ref="I19:I27">ROUND((G19*H19),6)</f>
        <v>0.001631</v>
      </c>
      <c r="J19" s="1306"/>
      <c r="K19" s="1327">
        <v>0.0117</v>
      </c>
      <c r="L19" s="1328">
        <v>0.214067</v>
      </c>
      <c r="M19" s="1327">
        <f>ROUND((K19*L19),6)</f>
        <v>0.002505</v>
      </c>
      <c r="N19" s="1306"/>
      <c r="O19" s="1321">
        <f aca="true" t="shared" si="2" ref="O19:O27">ROUND(E19+I19+M19,4)</f>
        <v>0.0123</v>
      </c>
    </row>
    <row r="20" spans="1:15" ht="15">
      <c r="A20" s="1305" t="s">
        <v>409</v>
      </c>
      <c r="B20" s="1326">
        <v>352</v>
      </c>
      <c r="C20" s="1327">
        <v>0.0132</v>
      </c>
      <c r="D20" s="1328">
        <v>0.646552</v>
      </c>
      <c r="E20" s="1327">
        <f t="shared" si="0"/>
        <v>0.008534</v>
      </c>
      <c r="F20" s="1306"/>
      <c r="G20" s="1327">
        <v>0.0127</v>
      </c>
      <c r="H20" s="1328">
        <v>0.139381</v>
      </c>
      <c r="I20" s="1327">
        <f t="shared" si="1"/>
        <v>0.00177</v>
      </c>
      <c r="J20" s="1306"/>
      <c r="K20" s="1327">
        <v>0.0127</v>
      </c>
      <c r="L20" s="1328">
        <v>0.214067</v>
      </c>
      <c r="M20" s="1327">
        <f aca="true" t="shared" si="3" ref="M20:M27">ROUND((K20*L20),6)</f>
        <v>0.002719</v>
      </c>
      <c r="N20" s="1306"/>
      <c r="O20" s="1321">
        <f t="shared" si="2"/>
        <v>0.013</v>
      </c>
    </row>
    <row r="21" spans="1:15" ht="15">
      <c r="A21" s="1305" t="s">
        <v>410</v>
      </c>
      <c r="B21" s="1326">
        <v>353</v>
      </c>
      <c r="C21" s="1327">
        <v>0.0169</v>
      </c>
      <c r="D21" s="1328">
        <v>0.646552</v>
      </c>
      <c r="E21" s="1327">
        <f t="shared" si="0"/>
        <v>0.010927</v>
      </c>
      <c r="F21" s="1306"/>
      <c r="G21" s="1327">
        <v>0.0165</v>
      </c>
      <c r="H21" s="1328">
        <v>0.139381</v>
      </c>
      <c r="I21" s="1327">
        <f t="shared" si="1"/>
        <v>0.0023</v>
      </c>
      <c r="J21" s="1306"/>
      <c r="K21" s="1327">
        <v>0.0165</v>
      </c>
      <c r="L21" s="1328">
        <v>0.214067</v>
      </c>
      <c r="M21" s="1327">
        <f t="shared" si="3"/>
        <v>0.003532</v>
      </c>
      <c r="N21" s="1306"/>
      <c r="O21" s="1321">
        <f t="shared" si="2"/>
        <v>0.0168</v>
      </c>
    </row>
    <row r="22" spans="1:15" ht="15">
      <c r="A22" s="1305" t="s">
        <v>411</v>
      </c>
      <c r="B22" s="1326">
        <v>354</v>
      </c>
      <c r="C22" s="1327">
        <v>0.016</v>
      </c>
      <c r="D22" s="1328">
        <v>0.646552</v>
      </c>
      <c r="E22" s="1327">
        <f t="shared" si="0"/>
        <v>0.010345</v>
      </c>
      <c r="F22" s="1306"/>
      <c r="G22" s="1327">
        <v>0.0144</v>
      </c>
      <c r="H22" s="1328">
        <v>0.139381</v>
      </c>
      <c r="I22" s="1327">
        <f t="shared" si="1"/>
        <v>0.002007</v>
      </c>
      <c r="J22" s="1306"/>
      <c r="K22" s="1327">
        <v>0.0144</v>
      </c>
      <c r="L22" s="1328">
        <v>0.214067</v>
      </c>
      <c r="M22" s="1327">
        <f t="shared" si="3"/>
        <v>0.003083</v>
      </c>
      <c r="N22" s="1306"/>
      <c r="O22" s="1321">
        <f t="shared" si="2"/>
        <v>0.0154</v>
      </c>
    </row>
    <row r="23" spans="1:15" ht="15">
      <c r="A23" s="1305" t="s">
        <v>412</v>
      </c>
      <c r="B23" s="1326">
        <v>355</v>
      </c>
      <c r="C23" s="1327">
        <v>0.0243</v>
      </c>
      <c r="D23" s="1328">
        <v>0.646552</v>
      </c>
      <c r="E23" s="1327">
        <f t="shared" si="0"/>
        <v>0.015711</v>
      </c>
      <c r="F23" s="1306"/>
      <c r="G23" s="1327">
        <v>0.0239</v>
      </c>
      <c r="H23" s="1328">
        <v>0.139381</v>
      </c>
      <c r="I23" s="1327">
        <f t="shared" si="1"/>
        <v>0.003331</v>
      </c>
      <c r="J23" s="1306"/>
      <c r="K23" s="1327">
        <v>0.0239</v>
      </c>
      <c r="L23" s="1328">
        <v>0.214067</v>
      </c>
      <c r="M23" s="1327">
        <f t="shared" si="3"/>
        <v>0.005116</v>
      </c>
      <c r="N23" s="1306"/>
      <c r="O23" s="1321">
        <f t="shared" si="2"/>
        <v>0.0242</v>
      </c>
    </row>
    <row r="24" spans="1:15" ht="15">
      <c r="A24" s="1305" t="s">
        <v>889</v>
      </c>
      <c r="B24" s="1326">
        <v>356</v>
      </c>
      <c r="C24" s="1327">
        <v>0.0153</v>
      </c>
      <c r="D24" s="1328">
        <v>0.646552</v>
      </c>
      <c r="E24" s="1327">
        <f t="shared" si="0"/>
        <v>0.009892</v>
      </c>
      <c r="F24" s="1306"/>
      <c r="G24" s="1327">
        <v>0.0145</v>
      </c>
      <c r="H24" s="1328">
        <v>0.139381</v>
      </c>
      <c r="I24" s="1327">
        <f t="shared" si="1"/>
        <v>0.002021</v>
      </c>
      <c r="J24" s="1306"/>
      <c r="K24" s="1327">
        <v>0.0145</v>
      </c>
      <c r="L24" s="1328">
        <v>0.214067</v>
      </c>
      <c r="M24" s="1327">
        <f t="shared" si="3"/>
        <v>0.003104</v>
      </c>
      <c r="N24" s="1306"/>
      <c r="O24" s="1321">
        <f t="shared" si="2"/>
        <v>0.015</v>
      </c>
    </row>
    <row r="25" spans="1:15" ht="15">
      <c r="A25" s="1305" t="s">
        <v>413</v>
      </c>
      <c r="B25" s="1326">
        <v>357</v>
      </c>
      <c r="C25" s="1327">
        <v>0.0156</v>
      </c>
      <c r="D25" s="1328">
        <v>0.646552</v>
      </c>
      <c r="E25" s="1327">
        <f t="shared" si="0"/>
        <v>0.010086</v>
      </c>
      <c r="F25" s="1306"/>
      <c r="G25" s="1327">
        <v>0.0139</v>
      </c>
      <c r="H25" s="1328">
        <v>0.139381</v>
      </c>
      <c r="I25" s="1327">
        <f t="shared" si="1"/>
        <v>0.001937</v>
      </c>
      <c r="J25" s="1306"/>
      <c r="K25" s="1327">
        <v>0.0139</v>
      </c>
      <c r="L25" s="1328">
        <v>0.214067</v>
      </c>
      <c r="M25" s="1327">
        <f t="shared" si="3"/>
        <v>0.002976</v>
      </c>
      <c r="N25" s="1306"/>
      <c r="O25" s="1321">
        <f t="shared" si="2"/>
        <v>0.015</v>
      </c>
    </row>
    <row r="26" spans="1:15" ht="15">
      <c r="A26" s="1305" t="s">
        <v>414</v>
      </c>
      <c r="B26" s="1326">
        <v>358</v>
      </c>
      <c r="C26" s="1327">
        <v>0.0155</v>
      </c>
      <c r="D26" s="1328">
        <v>0.646552</v>
      </c>
      <c r="E26" s="1327">
        <f t="shared" si="0"/>
        <v>0.010022</v>
      </c>
      <c r="F26" s="1306"/>
      <c r="G26" s="1327">
        <v>0.0146</v>
      </c>
      <c r="H26" s="1328">
        <v>0.139381</v>
      </c>
      <c r="I26" s="1327">
        <f t="shared" si="1"/>
        <v>0.002035</v>
      </c>
      <c r="J26" s="1306"/>
      <c r="K26" s="1327">
        <v>0.0146</v>
      </c>
      <c r="L26" s="1328">
        <v>0.214067</v>
      </c>
      <c r="M26" s="1327">
        <f t="shared" si="3"/>
        <v>0.003125</v>
      </c>
      <c r="N26" s="1306"/>
      <c r="O26" s="1321">
        <f t="shared" si="2"/>
        <v>0.0152</v>
      </c>
    </row>
    <row r="27" spans="1:15" ht="15">
      <c r="A27" s="1305" t="s">
        <v>890</v>
      </c>
      <c r="B27" s="1326">
        <v>359</v>
      </c>
      <c r="C27" s="1327">
        <v>0.0149</v>
      </c>
      <c r="D27" s="1328">
        <v>0.646552</v>
      </c>
      <c r="E27" s="1327">
        <f t="shared" si="0"/>
        <v>0.009634</v>
      </c>
      <c r="F27" s="1306"/>
      <c r="G27" s="1327">
        <v>0.0147</v>
      </c>
      <c r="H27" s="1328">
        <v>0.139381</v>
      </c>
      <c r="I27" s="1327">
        <f t="shared" si="1"/>
        <v>0.002049</v>
      </c>
      <c r="J27" s="1306"/>
      <c r="K27" s="1327">
        <v>0.0147</v>
      </c>
      <c r="L27" s="1328">
        <v>0.214067</v>
      </c>
      <c r="M27" s="1327">
        <f t="shared" si="3"/>
        <v>0.003147</v>
      </c>
      <c r="N27" s="1306"/>
      <c r="O27" s="1321">
        <f t="shared" si="2"/>
        <v>0.0148</v>
      </c>
    </row>
    <row r="28" spans="1:15" ht="15">
      <c r="A28" s="1312"/>
      <c r="B28" s="1312"/>
      <c r="C28" s="1312"/>
      <c r="D28" s="1312"/>
      <c r="E28" s="1312"/>
      <c r="F28" s="1312"/>
      <c r="G28" s="1312"/>
      <c r="H28" s="1312"/>
      <c r="I28" s="1312"/>
      <c r="J28" s="1312"/>
      <c r="K28" s="1312"/>
      <c r="L28" s="1312"/>
      <c r="M28" s="1312"/>
      <c r="N28" s="1312"/>
      <c r="O28" s="1312"/>
    </row>
    <row r="29" spans="1:15" ht="15">
      <c r="A29" s="1312"/>
      <c r="B29" s="1312"/>
      <c r="C29" s="1312"/>
      <c r="D29" s="1312"/>
      <c r="E29" s="1312"/>
      <c r="F29" s="1312"/>
      <c r="G29" s="1312"/>
      <c r="H29" s="1312"/>
      <c r="I29" s="1312"/>
      <c r="J29" s="1312"/>
      <c r="K29" s="1312"/>
      <c r="L29" s="1312"/>
      <c r="M29" s="1312"/>
      <c r="N29" s="1312"/>
      <c r="O29" s="1312"/>
    </row>
    <row r="30" spans="1:15" ht="15">
      <c r="A30" s="1312"/>
      <c r="B30" s="1320"/>
      <c r="C30" s="1321"/>
      <c r="D30" s="1312"/>
      <c r="E30" s="1312"/>
      <c r="F30" s="1312"/>
      <c r="G30" s="1311"/>
      <c r="H30" s="1312"/>
      <c r="I30" s="1312"/>
      <c r="J30" s="1312"/>
      <c r="K30" s="1312"/>
      <c r="L30" s="1312"/>
      <c r="M30" s="1312"/>
      <c r="N30" s="1312"/>
      <c r="O30" s="1312"/>
    </row>
    <row r="31" spans="1:15" ht="15.75">
      <c r="A31" s="1318" t="s">
        <v>891</v>
      </c>
      <c r="B31" s="1304"/>
      <c r="C31" s="1329"/>
      <c r="D31" s="1304"/>
      <c r="E31" s="1312"/>
      <c r="F31" s="1304"/>
      <c r="G31" s="1312"/>
      <c r="H31" s="1320"/>
      <c r="I31" s="1312"/>
      <c r="J31" s="1312"/>
      <c r="K31" s="1312"/>
      <c r="L31" s="1312"/>
      <c r="M31" s="1312"/>
      <c r="N31" s="1312"/>
      <c r="O31" s="1312"/>
    </row>
    <row r="32" spans="1:15" ht="15.75">
      <c r="A32" s="1318" t="s">
        <v>892</v>
      </c>
      <c r="B32" s="1304"/>
      <c r="C32" s="1329"/>
      <c r="D32" s="1304"/>
      <c r="E32" s="1304"/>
      <c r="F32" s="1304"/>
      <c r="G32" s="1312"/>
      <c r="H32" s="1320"/>
      <c r="I32" s="1312"/>
      <c r="J32" s="1312"/>
      <c r="K32" s="1312"/>
      <c r="L32" s="1312"/>
      <c r="M32" s="1312"/>
      <c r="N32" s="1312"/>
      <c r="O32" s="1312"/>
    </row>
    <row r="33" spans="1:15" ht="15.75">
      <c r="A33" s="1318" t="s">
        <v>893</v>
      </c>
      <c r="B33" s="1304"/>
      <c r="C33" s="1329"/>
      <c r="D33" s="1303"/>
      <c r="E33" s="1303"/>
      <c r="F33" s="1303"/>
      <c r="G33" s="1312"/>
      <c r="H33" s="1312"/>
      <c r="I33" s="1312"/>
      <c r="J33" s="1312"/>
      <c r="K33" s="1312"/>
      <c r="L33" s="1312"/>
      <c r="M33" s="1312"/>
      <c r="N33" s="1312"/>
      <c r="O33" s="1312"/>
    </row>
    <row r="34" spans="1:15" ht="15">
      <c r="A34" s="1560" t="s">
        <v>894</v>
      </c>
      <c r="B34" s="1561"/>
      <c r="C34" s="1561"/>
      <c r="D34" s="1561"/>
      <c r="E34" s="1561"/>
      <c r="F34" s="1561"/>
      <c r="G34" s="1561"/>
      <c r="H34" s="1561"/>
      <c r="I34" s="1561"/>
      <c r="J34" s="1561"/>
      <c r="K34" s="1561"/>
      <c r="L34" s="1561"/>
      <c r="M34" s="1312"/>
      <c r="N34" s="1312"/>
      <c r="O34" s="1312"/>
    </row>
    <row r="35" spans="1:15" ht="15">
      <c r="A35" s="1561"/>
      <c r="B35" s="1561"/>
      <c r="C35" s="1561"/>
      <c r="D35" s="1561"/>
      <c r="E35" s="1561"/>
      <c r="F35" s="1561"/>
      <c r="G35" s="1561"/>
      <c r="H35" s="1561"/>
      <c r="I35" s="1561"/>
      <c r="J35" s="1561"/>
      <c r="K35" s="1561"/>
      <c r="L35" s="1561"/>
      <c r="M35" s="1312"/>
      <c r="N35" s="1312"/>
      <c r="O35" s="1312"/>
    </row>
    <row r="36" spans="1:15" ht="15">
      <c r="A36" s="1561"/>
      <c r="B36" s="1561"/>
      <c r="C36" s="1561"/>
      <c r="D36" s="1561"/>
      <c r="E36" s="1561"/>
      <c r="F36" s="1561"/>
      <c r="G36" s="1561"/>
      <c r="H36" s="1561"/>
      <c r="I36" s="1561"/>
      <c r="J36" s="1561"/>
      <c r="K36" s="1561"/>
      <c r="L36" s="1561"/>
      <c r="M36" s="1312"/>
      <c r="N36" s="1312"/>
      <c r="O36" s="1312"/>
    </row>
    <row r="37" spans="1:15" ht="15.75">
      <c r="A37" s="1312"/>
      <c r="B37" s="1304"/>
      <c r="C37" s="1329"/>
      <c r="D37" s="1303"/>
      <c r="E37" s="1303"/>
      <c r="F37" s="1303"/>
      <c r="G37" s="1311"/>
      <c r="H37" s="1312"/>
      <c r="I37" s="1312"/>
      <c r="J37" s="1312"/>
      <c r="K37" s="1312"/>
      <c r="L37" s="1312"/>
      <c r="M37" s="1312"/>
      <c r="N37" s="1312"/>
      <c r="O37" s="1312"/>
    </row>
    <row r="38" spans="1:15" ht="15.75">
      <c r="A38" s="1302" t="s">
        <v>415</v>
      </c>
      <c r="B38" s="1320"/>
      <c r="C38" s="1321"/>
      <c r="D38" s="1312"/>
      <c r="E38" s="1312"/>
      <c r="F38" s="1312"/>
      <c r="G38" s="1311"/>
      <c r="H38" s="1312"/>
      <c r="I38" s="1312"/>
      <c r="J38" s="1312"/>
      <c r="K38" s="1312"/>
      <c r="L38" s="1312"/>
      <c r="M38" s="1312"/>
      <c r="N38" s="1312"/>
      <c r="O38" s="1312"/>
    </row>
    <row r="39" spans="1:15" ht="15">
      <c r="A39" s="1301" t="s">
        <v>29</v>
      </c>
      <c r="B39" s="1300"/>
      <c r="C39" s="1300"/>
      <c r="D39" s="1299"/>
      <c r="E39" s="1312"/>
      <c r="F39" s="1312"/>
      <c r="G39" s="1311"/>
      <c r="H39" s="1312"/>
      <c r="I39" s="1312"/>
      <c r="J39" s="1312"/>
      <c r="K39" s="1312"/>
      <c r="L39" s="1312"/>
      <c r="M39" s="1312"/>
      <c r="N39" s="1312"/>
      <c r="O39" s="1312"/>
    </row>
    <row r="40" spans="1:15" ht="15">
      <c r="A40" s="1556" t="s">
        <v>895</v>
      </c>
      <c r="B40" s="1556"/>
      <c r="C40" s="1556"/>
      <c r="D40" s="1556"/>
      <c r="E40" s="1556"/>
      <c r="F40" s="1556"/>
      <c r="G40" s="1556"/>
      <c r="H40" s="1556"/>
      <c r="I40" s="1556"/>
      <c r="J40" s="1556"/>
      <c r="K40" s="1556"/>
      <c r="L40" s="1556"/>
      <c r="M40" s="1556"/>
      <c r="N40" s="1556"/>
      <c r="O40" s="1312"/>
    </row>
    <row r="41" spans="1:15" ht="15">
      <c r="A41" s="1556"/>
      <c r="B41" s="1556"/>
      <c r="C41" s="1556"/>
      <c r="D41" s="1556"/>
      <c r="E41" s="1556"/>
      <c r="F41" s="1556"/>
      <c r="G41" s="1556"/>
      <c r="H41" s="1556"/>
      <c r="I41" s="1556"/>
      <c r="J41" s="1556"/>
      <c r="K41" s="1556"/>
      <c r="L41" s="1556"/>
      <c r="M41" s="1556"/>
      <c r="N41" s="1556"/>
      <c r="O41" s="1312"/>
    </row>
    <row r="42" spans="1:15" ht="15">
      <c r="A42" s="1557" t="s">
        <v>770</v>
      </c>
      <c r="B42" s="1557"/>
      <c r="C42" s="1557"/>
      <c r="D42" s="1557"/>
      <c r="E42" s="1557"/>
      <c r="F42" s="1557"/>
      <c r="G42" s="1557"/>
      <c r="H42" s="1557"/>
      <c r="I42" s="1557"/>
      <c r="J42" s="1557"/>
      <c r="K42" s="1557"/>
      <c r="L42" s="1557"/>
      <c r="M42" s="1557"/>
      <c r="N42" s="1557"/>
      <c r="O42" s="1312"/>
    </row>
    <row r="43" spans="1:15" ht="15">
      <c r="A43" s="1557"/>
      <c r="B43" s="1557"/>
      <c r="C43" s="1557"/>
      <c r="D43" s="1557"/>
      <c r="E43" s="1557"/>
      <c r="F43" s="1557"/>
      <c r="G43" s="1557"/>
      <c r="H43" s="1557"/>
      <c r="I43" s="1557"/>
      <c r="J43" s="1557"/>
      <c r="K43" s="1557"/>
      <c r="L43" s="1557"/>
      <c r="M43" s="1557"/>
      <c r="N43" s="1557"/>
      <c r="O43" s="1312"/>
    </row>
    <row r="44" spans="1:15" ht="15">
      <c r="A44" s="1312"/>
      <c r="B44" s="1312"/>
      <c r="C44" s="1312"/>
      <c r="D44" s="1312"/>
      <c r="E44" s="1312"/>
      <c r="F44" s="1312"/>
      <c r="G44" s="1311"/>
      <c r="H44" s="1312"/>
      <c r="I44" s="1312"/>
      <c r="J44" s="1312"/>
      <c r="K44" s="1312"/>
      <c r="L44" s="1312"/>
      <c r="M44" s="1312"/>
      <c r="N44" s="1312"/>
      <c r="O44" s="1312"/>
    </row>
    <row r="45" spans="1:15" ht="15">
      <c r="A45" s="1312"/>
      <c r="B45" s="1312"/>
      <c r="C45" s="1312"/>
      <c r="D45" s="1312"/>
      <c r="E45" s="1312"/>
      <c r="F45" s="1312"/>
      <c r="G45" s="1311"/>
      <c r="H45" s="1312"/>
      <c r="I45" s="1312"/>
      <c r="J45" s="1312"/>
      <c r="K45" s="1312"/>
      <c r="L45" s="1312"/>
      <c r="M45" s="1312"/>
      <c r="N45" s="1312"/>
      <c r="O45" s="1312"/>
    </row>
    <row r="46" spans="1:15" ht="15">
      <c r="A46" s="1312"/>
      <c r="B46" s="1312"/>
      <c r="C46" s="1312"/>
      <c r="D46" s="1312"/>
      <c r="E46" s="1312"/>
      <c r="F46" s="1312"/>
      <c r="G46" s="1311"/>
      <c r="H46" s="1312"/>
      <c r="I46" s="1312"/>
      <c r="J46" s="1312"/>
      <c r="K46" s="1312"/>
      <c r="L46" s="1312"/>
      <c r="M46" s="1312"/>
      <c r="N46" s="1312"/>
      <c r="O46" s="1312"/>
    </row>
  </sheetData>
  <sheetProtection/>
  <mergeCells count="14">
    <mergeCell ref="A40:N41"/>
    <mergeCell ref="A42:N43"/>
    <mergeCell ref="A9:O9"/>
    <mergeCell ref="A10:O10"/>
    <mergeCell ref="C11:E11"/>
    <mergeCell ref="G11:I11"/>
    <mergeCell ref="K11:M11"/>
    <mergeCell ref="A34:L36"/>
    <mergeCell ref="A3:O3"/>
    <mergeCell ref="A4:O4"/>
    <mergeCell ref="A5:O5"/>
    <mergeCell ref="A6:O6"/>
    <mergeCell ref="A7:O7"/>
    <mergeCell ref="A8:O8"/>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6" r:id="rId1"/>
</worksheet>
</file>

<file path=xl/worksheets/sheet21.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R55" sqref="R55"/>
    </sheetView>
  </sheetViews>
  <sheetFormatPr defaultColWidth="8.8515625" defaultRowHeight="12.75"/>
  <cols>
    <col min="1" max="1" width="33.421875" style="330" customWidth="1"/>
    <col min="2" max="2" width="10.28125" style="330" customWidth="1"/>
    <col min="3" max="3" width="3.28125" style="330" customWidth="1"/>
    <col min="4" max="4" width="25.8515625" style="330" customWidth="1"/>
    <col min="5" max="5" width="4.7109375" style="330" customWidth="1"/>
    <col min="6" max="6" width="15.57421875" style="330" customWidth="1"/>
    <col min="7" max="7" width="8.8515625" style="330" customWidth="1"/>
    <col min="8" max="8" width="17.8515625" style="330" customWidth="1"/>
    <col min="9" max="9" width="17.421875" style="330" customWidth="1"/>
    <col min="10" max="10" width="8.8515625" style="330" customWidth="1"/>
    <col min="11" max="11" width="18.140625" style="330" customWidth="1"/>
    <col min="12" max="16384" width="8.8515625" style="330" customWidth="1"/>
  </cols>
  <sheetData>
    <row r="1" spans="1:11" ht="15.75">
      <c r="A1" s="1562" t="s">
        <v>389</v>
      </c>
      <c r="B1" s="1562"/>
      <c r="C1" s="1562"/>
      <c r="D1" s="1562"/>
      <c r="E1" s="1562"/>
      <c r="F1" s="1562"/>
      <c r="G1" s="1562"/>
      <c r="H1" s="1562"/>
      <c r="I1" s="1562"/>
      <c r="J1" s="1562"/>
      <c r="K1" s="1562"/>
    </row>
    <row r="2" spans="1:11" ht="15.75">
      <c r="A2" s="1563" t="s">
        <v>571</v>
      </c>
      <c r="B2" s="1563"/>
      <c r="C2" s="1563"/>
      <c r="D2" s="1563"/>
      <c r="E2" s="1563"/>
      <c r="F2" s="1563"/>
      <c r="G2" s="1563"/>
      <c r="H2" s="1563"/>
      <c r="I2" s="1563"/>
      <c r="J2" s="1563"/>
      <c r="K2" s="1563"/>
    </row>
    <row r="3" spans="1:11" ht="15.75">
      <c r="A3" s="1563" t="s">
        <v>572</v>
      </c>
      <c r="B3" s="1563"/>
      <c r="C3" s="1563"/>
      <c r="D3" s="1563"/>
      <c r="E3" s="1563"/>
      <c r="F3" s="1563"/>
      <c r="G3" s="1563"/>
      <c r="H3" s="1563"/>
      <c r="I3" s="1563"/>
      <c r="J3" s="1563"/>
      <c r="K3" s="1563"/>
    </row>
    <row r="4" spans="1:11" ht="15.75">
      <c r="A4" s="519"/>
      <c r="B4" s="519"/>
      <c r="C4" s="519"/>
      <c r="D4" s="1563"/>
      <c r="E4" s="1563"/>
      <c r="F4" s="1563"/>
      <c r="G4" s="1563"/>
      <c r="H4" s="519"/>
      <c r="I4" s="519"/>
      <c r="J4" s="519"/>
      <c r="K4" s="519"/>
    </row>
    <row r="5" spans="1:11" ht="12.75">
      <c r="A5" s="412"/>
      <c r="B5" s="412"/>
      <c r="C5" s="412"/>
      <c r="D5" s="412"/>
      <c r="E5" s="412"/>
      <c r="F5" s="412"/>
      <c r="G5" s="412"/>
      <c r="H5" s="412"/>
      <c r="I5" s="412"/>
      <c r="J5" s="412"/>
      <c r="K5" s="412"/>
    </row>
    <row r="6" spans="1:11" ht="12.75">
      <c r="A6" s="412"/>
      <c r="B6" s="412"/>
      <c r="C6" s="412"/>
      <c r="D6" s="412"/>
      <c r="E6" s="412"/>
      <c r="F6" s="412"/>
      <c r="G6" s="412"/>
      <c r="H6" s="412"/>
      <c r="I6" s="412"/>
      <c r="J6" s="412"/>
      <c r="K6" s="412"/>
    </row>
    <row r="7" spans="1:11" ht="16.5" thickBot="1">
      <c r="A7" s="787"/>
      <c r="B7" s="788"/>
      <c r="C7" s="788"/>
      <c r="D7" s="788"/>
      <c r="E7" s="788"/>
      <c r="F7" s="788"/>
      <c r="G7" s="788"/>
      <c r="H7" s="788"/>
      <c r="I7" s="788"/>
      <c r="J7" s="788"/>
      <c r="K7" s="788"/>
    </row>
    <row r="8" spans="1:11" ht="47.25">
      <c r="A8" s="789" t="str">
        <f>"Reconciliation Revenue Requirement For Year "&amp;'I&amp;M TCOS'!L2+1&amp;" Available May 25, "&amp;'I&amp;M TCOS'!L2+2</f>
        <v>Reconciliation Revenue Requirement For Year 2018 Available May 25, 2019</v>
      </c>
      <c r="B8" s="788"/>
      <c r="C8" s="788"/>
      <c r="D8" s="789" t="str">
        <f>'I&amp;M TCOS'!L2+1&amp;" Revenue Requirement Forecast by October 31, "&amp;'I&amp;M TCOS'!L2</f>
        <v>2018 Revenue Requirement Forecast by October 31, 2017</v>
      </c>
      <c r="E8" s="788"/>
      <c r="F8" s="788"/>
      <c r="G8" s="519"/>
      <c r="H8" s="789" t="s">
        <v>552</v>
      </c>
      <c r="I8" s="519"/>
      <c r="J8" s="519"/>
      <c r="K8" s="519"/>
    </row>
    <row r="9" spans="1:11" ht="15.75">
      <c r="A9" s="790" t="s">
        <v>116</v>
      </c>
      <c r="B9" s="788"/>
      <c r="C9" s="788"/>
      <c r="D9" s="790"/>
      <c r="E9" s="788"/>
      <c r="F9" s="788"/>
      <c r="G9" s="519"/>
      <c r="H9" s="791"/>
      <c r="I9" s="519"/>
      <c r="J9" s="519"/>
      <c r="K9" s="519"/>
    </row>
    <row r="10" spans="1:11" ht="16.5" thickBot="1">
      <c r="A10" s="868"/>
      <c r="B10" s="792" t="str">
        <f>"-"</f>
        <v>-</v>
      </c>
      <c r="C10" s="793"/>
      <c r="D10" s="868"/>
      <c r="E10" s="794"/>
      <c r="F10" s="795" t="str">
        <f>"="</f>
        <v>=</v>
      </c>
      <c r="G10" s="796"/>
      <c r="H10" s="797">
        <f>IF(A10=0,0,D10-A10)</f>
        <v>0</v>
      </c>
      <c r="I10" s="519"/>
      <c r="J10" s="519"/>
      <c r="K10" s="519"/>
    </row>
    <row r="11" spans="1:11" ht="15.75">
      <c r="A11" s="798"/>
      <c r="B11" s="799"/>
      <c r="C11" s="799"/>
      <c r="D11" s="798"/>
      <c r="E11" s="798"/>
      <c r="F11" s="799"/>
      <c r="G11" s="798"/>
      <c r="H11" s="519"/>
      <c r="I11" s="519"/>
      <c r="J11" s="519"/>
      <c r="K11" s="519"/>
    </row>
    <row r="12" spans="1:11" ht="16.5" thickBot="1">
      <c r="A12" s="800"/>
      <c r="B12" s="801"/>
      <c r="C12" s="801"/>
      <c r="D12" s="800"/>
      <c r="E12" s="800"/>
      <c r="F12" s="801"/>
      <c r="G12" s="800"/>
      <c r="H12" s="802"/>
      <c r="I12" s="802"/>
      <c r="J12" s="802"/>
      <c r="K12" s="802"/>
    </row>
    <row r="13" spans="1:11" ht="15.75">
      <c r="A13" s="803"/>
      <c r="B13" s="799"/>
      <c r="C13" s="799"/>
      <c r="D13" s="798"/>
      <c r="E13" s="798"/>
      <c r="F13" s="799"/>
      <c r="G13" s="798"/>
      <c r="H13" s="519"/>
      <c r="I13" s="519"/>
      <c r="J13" s="519"/>
      <c r="K13" s="519"/>
    </row>
    <row r="14" spans="1:11" ht="47.25">
      <c r="A14" s="804" t="s">
        <v>553</v>
      </c>
      <c r="B14" s="799"/>
      <c r="C14" s="799"/>
      <c r="D14" s="805" t="s">
        <v>554</v>
      </c>
      <c r="E14" s="798"/>
      <c r="F14" s="805" t="s">
        <v>555</v>
      </c>
      <c r="G14" s="806" t="s">
        <v>556</v>
      </c>
      <c r="H14" s="807" t="s">
        <v>557</v>
      </c>
      <c r="I14" s="805" t="s">
        <v>558</v>
      </c>
      <c r="J14" s="808"/>
      <c r="K14" s="805" t="s">
        <v>559</v>
      </c>
    </row>
    <row r="15" spans="1:11" ht="15.75">
      <c r="A15" s="804" t="s">
        <v>560</v>
      </c>
      <c r="B15" s="799"/>
      <c r="C15" s="799"/>
      <c r="D15" s="519"/>
      <c r="E15" s="809"/>
      <c r="F15" s="869"/>
      <c r="H15" s="519"/>
      <c r="I15" s="519"/>
      <c r="J15" s="519"/>
      <c r="K15" s="519"/>
    </row>
    <row r="16" spans="1:11" ht="15.75">
      <c r="A16" s="804"/>
      <c r="B16" s="799"/>
      <c r="C16" s="799"/>
      <c r="D16" s="519"/>
      <c r="E16" s="809"/>
      <c r="F16" s="809"/>
      <c r="G16" s="798"/>
      <c r="H16" s="519"/>
      <c r="I16" s="519"/>
      <c r="J16" s="519"/>
      <c r="K16" s="519"/>
    </row>
    <row r="17" spans="1:11" ht="15.75">
      <c r="A17" s="804" t="s">
        <v>573</v>
      </c>
      <c r="B17" s="799"/>
      <c r="C17" s="799"/>
      <c r="D17" s="519"/>
      <c r="E17" s="809"/>
      <c r="F17" s="809"/>
      <c r="G17" s="798"/>
      <c r="H17" s="519"/>
      <c r="I17" s="519"/>
      <c r="J17" s="519"/>
      <c r="K17" s="519"/>
    </row>
    <row r="18" spans="1:11" ht="15.75">
      <c r="A18" s="810" t="s">
        <v>116</v>
      </c>
      <c r="B18" s="799"/>
      <c r="C18" s="799"/>
      <c r="D18" s="799"/>
      <c r="E18" s="799"/>
      <c r="F18" s="799" t="s">
        <v>116</v>
      </c>
      <c r="G18" s="519"/>
      <c r="H18" s="519"/>
      <c r="I18" s="519"/>
      <c r="J18" s="519"/>
      <c r="K18" s="519"/>
    </row>
    <row r="19" spans="1:11" ht="15.75">
      <c r="A19" s="811"/>
      <c r="B19" s="799"/>
      <c r="C19" s="799"/>
      <c r="D19" s="799"/>
      <c r="E19" s="799"/>
      <c r="F19" s="519"/>
      <c r="G19" s="519"/>
      <c r="H19" s="806"/>
      <c r="I19" s="799"/>
      <c r="J19" s="799"/>
      <c r="K19" s="799"/>
    </row>
    <row r="20" spans="1:11" ht="15.75">
      <c r="A20" s="811" t="s">
        <v>561</v>
      </c>
      <c r="B20" s="799"/>
      <c r="C20" s="799"/>
      <c r="D20" s="799"/>
      <c r="E20" s="799"/>
      <c r="F20" s="519"/>
      <c r="G20" s="519"/>
      <c r="H20" s="806" t="s">
        <v>562</v>
      </c>
      <c r="I20" s="799"/>
      <c r="J20" s="799"/>
      <c r="K20" s="799"/>
    </row>
    <row r="21" spans="1:11" ht="15.75">
      <c r="A21" s="788" t="s">
        <v>187</v>
      </c>
      <c r="B21" s="788" t="str">
        <f>"Year "&amp;'I&amp;M TCOS'!L2+1</f>
        <v>Year 2018</v>
      </c>
      <c r="C21" s="788"/>
      <c r="D21" s="812">
        <f>H10/12</f>
        <v>0</v>
      </c>
      <c r="E21" s="812"/>
      <c r="F21" s="813">
        <f>+F15</f>
        <v>0</v>
      </c>
      <c r="G21" s="814">
        <v>12</v>
      </c>
      <c r="H21" s="812">
        <f>F21*D21*G21*-1</f>
        <v>0</v>
      </c>
      <c r="I21" s="812"/>
      <c r="J21" s="812"/>
      <c r="K21" s="812">
        <f>(-H21+D21)*-1</f>
        <v>0</v>
      </c>
    </row>
    <row r="22" spans="1:11" ht="15.75">
      <c r="A22" s="788" t="s">
        <v>563</v>
      </c>
      <c r="B22" s="788" t="str">
        <f>B21</f>
        <v>Year 2018</v>
      </c>
      <c r="C22" s="788"/>
      <c r="D22" s="812">
        <f>+D21</f>
        <v>0</v>
      </c>
      <c r="E22" s="812"/>
      <c r="F22" s="813">
        <f>+F21</f>
        <v>0</v>
      </c>
      <c r="G22" s="814">
        <f aca="true" t="shared" si="0" ref="G22:G32">+G21-1</f>
        <v>11</v>
      </c>
      <c r="H22" s="812">
        <f aca="true" t="shared" si="1" ref="H22:H32">F22*D22*G22*-1</f>
        <v>0</v>
      </c>
      <c r="I22" s="812"/>
      <c r="J22" s="812"/>
      <c r="K22" s="812">
        <f aca="true" t="shared" si="2" ref="K22:K32">(-H22+D22)*-1</f>
        <v>0</v>
      </c>
    </row>
    <row r="23" spans="1:11" ht="15.75">
      <c r="A23" s="788" t="s">
        <v>188</v>
      </c>
      <c r="B23" s="788" t="str">
        <f aca="true" t="shared" si="3" ref="B23:B32">B22</f>
        <v>Year 2018</v>
      </c>
      <c r="C23" s="788"/>
      <c r="D23" s="812">
        <f aca="true" t="shared" si="4" ref="D23:D32">+D22</f>
        <v>0</v>
      </c>
      <c r="E23" s="812"/>
      <c r="F23" s="813">
        <f aca="true" t="shared" si="5" ref="F23:F32">+F22</f>
        <v>0</v>
      </c>
      <c r="G23" s="814">
        <f t="shared" si="0"/>
        <v>10</v>
      </c>
      <c r="H23" s="812">
        <f t="shared" si="1"/>
        <v>0</v>
      </c>
      <c r="I23" s="812"/>
      <c r="J23" s="812"/>
      <c r="K23" s="812">
        <f t="shared" si="2"/>
        <v>0</v>
      </c>
    </row>
    <row r="24" spans="1:11" ht="15.75">
      <c r="A24" s="788" t="s">
        <v>189</v>
      </c>
      <c r="B24" s="788" t="str">
        <f t="shared" si="3"/>
        <v>Year 2018</v>
      </c>
      <c r="C24" s="788"/>
      <c r="D24" s="812">
        <f t="shared" si="4"/>
        <v>0</v>
      </c>
      <c r="E24" s="812"/>
      <c r="F24" s="813">
        <f t="shared" si="5"/>
        <v>0</v>
      </c>
      <c r="G24" s="814">
        <f t="shared" si="0"/>
        <v>9</v>
      </c>
      <c r="H24" s="812">
        <f t="shared" si="1"/>
        <v>0</v>
      </c>
      <c r="I24" s="812"/>
      <c r="J24" s="812"/>
      <c r="K24" s="812">
        <f t="shared" si="2"/>
        <v>0</v>
      </c>
    </row>
    <row r="25" spans="1:11" ht="15.75">
      <c r="A25" s="788" t="s">
        <v>190</v>
      </c>
      <c r="B25" s="788" t="str">
        <f t="shared" si="3"/>
        <v>Year 2018</v>
      </c>
      <c r="C25" s="788"/>
      <c r="D25" s="812">
        <f t="shared" si="4"/>
        <v>0</v>
      </c>
      <c r="E25" s="812"/>
      <c r="F25" s="813">
        <f t="shared" si="5"/>
        <v>0</v>
      </c>
      <c r="G25" s="814">
        <f t="shared" si="0"/>
        <v>8</v>
      </c>
      <c r="H25" s="812">
        <f t="shared" si="1"/>
        <v>0</v>
      </c>
      <c r="I25" s="812"/>
      <c r="J25" s="812"/>
      <c r="K25" s="812">
        <f t="shared" si="2"/>
        <v>0</v>
      </c>
    </row>
    <row r="26" spans="1:11" ht="15.75">
      <c r="A26" s="788" t="s">
        <v>384</v>
      </c>
      <c r="B26" s="788" t="str">
        <f t="shared" si="3"/>
        <v>Year 2018</v>
      </c>
      <c r="C26" s="788"/>
      <c r="D26" s="812">
        <f t="shared" si="4"/>
        <v>0</v>
      </c>
      <c r="E26" s="812"/>
      <c r="F26" s="813">
        <f t="shared" si="5"/>
        <v>0</v>
      </c>
      <c r="G26" s="814">
        <f t="shared" si="0"/>
        <v>7</v>
      </c>
      <c r="H26" s="812">
        <f t="shared" si="1"/>
        <v>0</v>
      </c>
      <c r="I26" s="812"/>
      <c r="J26" s="812"/>
      <c r="K26" s="812">
        <f t="shared" si="2"/>
        <v>0</v>
      </c>
    </row>
    <row r="27" spans="1:11" ht="15.75">
      <c r="A27" s="788" t="s">
        <v>191</v>
      </c>
      <c r="B27" s="788" t="str">
        <f t="shared" si="3"/>
        <v>Year 2018</v>
      </c>
      <c r="C27" s="788"/>
      <c r="D27" s="812">
        <f t="shared" si="4"/>
        <v>0</v>
      </c>
      <c r="E27" s="812"/>
      <c r="F27" s="813">
        <f t="shared" si="5"/>
        <v>0</v>
      </c>
      <c r="G27" s="814">
        <f t="shared" si="0"/>
        <v>6</v>
      </c>
      <c r="H27" s="812">
        <f t="shared" si="1"/>
        <v>0</v>
      </c>
      <c r="I27" s="812"/>
      <c r="J27" s="812"/>
      <c r="K27" s="812">
        <f t="shared" si="2"/>
        <v>0</v>
      </c>
    </row>
    <row r="28" spans="1:11" ht="15.75">
      <c r="A28" s="788" t="s">
        <v>192</v>
      </c>
      <c r="B28" s="788" t="str">
        <f t="shared" si="3"/>
        <v>Year 2018</v>
      </c>
      <c r="C28" s="788"/>
      <c r="D28" s="812">
        <f t="shared" si="4"/>
        <v>0</v>
      </c>
      <c r="E28" s="812"/>
      <c r="F28" s="813">
        <f t="shared" si="5"/>
        <v>0</v>
      </c>
      <c r="G28" s="814">
        <f t="shared" si="0"/>
        <v>5</v>
      </c>
      <c r="H28" s="812">
        <f t="shared" si="1"/>
        <v>0</v>
      </c>
      <c r="I28" s="812"/>
      <c r="J28" s="812"/>
      <c r="K28" s="812">
        <f t="shared" si="2"/>
        <v>0</v>
      </c>
    </row>
    <row r="29" spans="1:11" ht="15.75">
      <c r="A29" s="788" t="s">
        <v>194</v>
      </c>
      <c r="B29" s="788" t="str">
        <f t="shared" si="3"/>
        <v>Year 2018</v>
      </c>
      <c r="C29" s="788"/>
      <c r="D29" s="812">
        <f t="shared" si="4"/>
        <v>0</v>
      </c>
      <c r="E29" s="812"/>
      <c r="F29" s="813">
        <f t="shared" si="5"/>
        <v>0</v>
      </c>
      <c r="G29" s="814">
        <f t="shared" si="0"/>
        <v>4</v>
      </c>
      <c r="H29" s="812">
        <f t="shared" si="1"/>
        <v>0</v>
      </c>
      <c r="I29" s="812"/>
      <c r="J29" s="812"/>
      <c r="K29" s="812">
        <f t="shared" si="2"/>
        <v>0</v>
      </c>
    </row>
    <row r="30" spans="1:11" ht="15.75">
      <c r="A30" s="788" t="s">
        <v>564</v>
      </c>
      <c r="B30" s="788" t="str">
        <f t="shared" si="3"/>
        <v>Year 2018</v>
      </c>
      <c r="C30" s="788"/>
      <c r="D30" s="812">
        <f t="shared" si="4"/>
        <v>0</v>
      </c>
      <c r="E30" s="812"/>
      <c r="F30" s="813">
        <f t="shared" si="5"/>
        <v>0</v>
      </c>
      <c r="G30" s="814">
        <f t="shared" si="0"/>
        <v>3</v>
      </c>
      <c r="H30" s="812">
        <f t="shared" si="1"/>
        <v>0</v>
      </c>
      <c r="I30" s="812"/>
      <c r="J30" s="812"/>
      <c r="K30" s="812">
        <f t="shared" si="2"/>
        <v>0</v>
      </c>
    </row>
    <row r="31" spans="1:11" ht="15.75">
      <c r="A31" s="788" t="s">
        <v>565</v>
      </c>
      <c r="B31" s="788" t="str">
        <f t="shared" si="3"/>
        <v>Year 2018</v>
      </c>
      <c r="C31" s="788"/>
      <c r="D31" s="812">
        <f t="shared" si="4"/>
        <v>0</v>
      </c>
      <c r="E31" s="812"/>
      <c r="F31" s="813">
        <f t="shared" si="5"/>
        <v>0</v>
      </c>
      <c r="G31" s="814">
        <f t="shared" si="0"/>
        <v>2</v>
      </c>
      <c r="H31" s="812">
        <f t="shared" si="1"/>
        <v>0</v>
      </c>
      <c r="I31" s="812"/>
      <c r="J31" s="812"/>
      <c r="K31" s="812">
        <f t="shared" si="2"/>
        <v>0</v>
      </c>
    </row>
    <row r="32" spans="1:11" ht="15.75">
      <c r="A32" s="788" t="s">
        <v>193</v>
      </c>
      <c r="B32" s="788" t="str">
        <f t="shared" si="3"/>
        <v>Year 2018</v>
      </c>
      <c r="C32" s="788"/>
      <c r="D32" s="812">
        <f t="shared" si="4"/>
        <v>0</v>
      </c>
      <c r="E32" s="812"/>
      <c r="F32" s="813">
        <f t="shared" si="5"/>
        <v>0</v>
      </c>
      <c r="G32" s="814">
        <f t="shared" si="0"/>
        <v>1</v>
      </c>
      <c r="H32" s="815">
        <f t="shared" si="1"/>
        <v>0</v>
      </c>
      <c r="I32" s="812"/>
      <c r="J32" s="812"/>
      <c r="K32" s="812">
        <f t="shared" si="2"/>
        <v>0</v>
      </c>
    </row>
    <row r="33" spans="1:11" ht="15.75">
      <c r="A33" s="788"/>
      <c r="B33" s="788"/>
      <c r="C33" s="788"/>
      <c r="D33" s="812"/>
      <c r="E33" s="812"/>
      <c r="F33" s="813"/>
      <c r="G33" s="788"/>
      <c r="H33" s="812">
        <f>SUM(H21:H32)</f>
        <v>0</v>
      </c>
      <c r="I33" s="812"/>
      <c r="J33" s="812"/>
      <c r="K33" s="816">
        <f>SUM(K21:K32)</f>
        <v>0</v>
      </c>
    </row>
    <row r="34" spans="1:11" ht="15.75">
      <c r="A34" s="788"/>
      <c r="B34" s="788"/>
      <c r="C34" s="788"/>
      <c r="D34" s="812"/>
      <c r="E34" s="812"/>
      <c r="F34" s="813"/>
      <c r="G34" s="788"/>
      <c r="H34" s="812"/>
      <c r="I34" s="812" t="s">
        <v>116</v>
      </c>
      <c r="J34" s="812"/>
      <c r="K34" s="519"/>
    </row>
    <row r="35" spans="1:11" ht="15.75">
      <c r="A35" s="788"/>
      <c r="B35" s="788"/>
      <c r="C35" s="788"/>
      <c r="D35" s="798"/>
      <c r="E35" s="798"/>
      <c r="F35" s="813"/>
      <c r="G35" s="788"/>
      <c r="H35" s="817" t="s">
        <v>566</v>
      </c>
      <c r="I35" s="812"/>
      <c r="J35" s="812"/>
      <c r="K35" s="812"/>
    </row>
    <row r="36" spans="1:11" ht="15.75">
      <c r="A36" s="788" t="s">
        <v>567</v>
      </c>
      <c r="B36" s="788" t="str">
        <f>"Year "&amp;'I&amp;M TCOS'!L2+2</f>
        <v>Year 2019</v>
      </c>
      <c r="C36" s="788"/>
      <c r="D36" s="798">
        <f>K33</f>
        <v>0</v>
      </c>
      <c r="E36" s="798"/>
      <c r="F36" s="813">
        <f>+F32</f>
        <v>0</v>
      </c>
      <c r="G36" s="814">
        <v>12</v>
      </c>
      <c r="H36" s="812">
        <f>+G36*F36*D36</f>
        <v>0</v>
      </c>
      <c r="I36" s="812"/>
      <c r="J36" s="812"/>
      <c r="K36" s="816">
        <f>+D36+H36</f>
        <v>0</v>
      </c>
    </row>
    <row r="37" spans="1:11" ht="15.75">
      <c r="A37" s="788"/>
      <c r="B37" s="788"/>
      <c r="C37" s="788"/>
      <c r="D37" s="798"/>
      <c r="E37" s="798"/>
      <c r="F37" s="813"/>
      <c r="G37" s="788"/>
      <c r="H37" s="812"/>
      <c r="I37" s="812"/>
      <c r="J37" s="812"/>
      <c r="K37" s="812"/>
    </row>
    <row r="38" spans="1:11" ht="15.75">
      <c r="A38" s="818" t="s">
        <v>568</v>
      </c>
      <c r="B38" s="788"/>
      <c r="C38" s="788"/>
      <c r="D38" s="812"/>
      <c r="E38" s="812"/>
      <c r="F38" s="813"/>
      <c r="G38" s="788"/>
      <c r="H38" s="817" t="s">
        <v>562</v>
      </c>
      <c r="I38" s="812"/>
      <c r="J38" s="812"/>
      <c r="K38" s="812"/>
    </row>
    <row r="39" spans="1:11" ht="15.75">
      <c r="A39" s="788" t="s">
        <v>187</v>
      </c>
      <c r="B39" s="788" t="str">
        <f>"Year "&amp;'I&amp;M TCOS'!L2+3</f>
        <v>Year 2020</v>
      </c>
      <c r="C39" s="788"/>
      <c r="D39" s="819">
        <f>-K36</f>
        <v>0</v>
      </c>
      <c r="E39" s="798"/>
      <c r="F39" s="813">
        <f>+F32</f>
        <v>0</v>
      </c>
      <c r="G39" s="788"/>
      <c r="H39" s="812">
        <f>-F39*D39</f>
        <v>0</v>
      </c>
      <c r="I39" s="812">
        <f>PMT(F39,12,K$36)</f>
        <v>0</v>
      </c>
      <c r="J39" s="812"/>
      <c r="K39" s="812">
        <f>(+D39+D39*F39-I39)*-1</f>
        <v>0</v>
      </c>
    </row>
    <row r="40" spans="1:11" ht="15.75">
      <c r="A40" s="788" t="s">
        <v>563</v>
      </c>
      <c r="B40" s="788" t="str">
        <f>+B39</f>
        <v>Year 2020</v>
      </c>
      <c r="C40" s="788"/>
      <c r="D40" s="798">
        <f>-K39</f>
        <v>0</v>
      </c>
      <c r="E40" s="798"/>
      <c r="F40" s="813">
        <f>+F39</f>
        <v>0</v>
      </c>
      <c r="G40" s="788"/>
      <c r="H40" s="812">
        <f>-F40*D40</f>
        <v>0</v>
      </c>
      <c r="I40" s="812">
        <f>I39</f>
        <v>0</v>
      </c>
      <c r="J40" s="812"/>
      <c r="K40" s="812">
        <f aca="true" t="shared" si="6" ref="K40:K50">(+D40+D40*F40-I40)*-1</f>
        <v>0</v>
      </c>
    </row>
    <row r="41" spans="1:11" ht="15.75">
      <c r="A41" s="788" t="s">
        <v>188</v>
      </c>
      <c r="B41" s="788" t="str">
        <f>+B40</f>
        <v>Year 2020</v>
      </c>
      <c r="C41" s="788"/>
      <c r="D41" s="798">
        <f aca="true" t="shared" si="7" ref="D41:D50">-K40</f>
        <v>0</v>
      </c>
      <c r="E41" s="798"/>
      <c r="F41" s="813">
        <f aca="true" t="shared" si="8" ref="F41:F50">+F40</f>
        <v>0</v>
      </c>
      <c r="G41" s="788"/>
      <c r="H41" s="812">
        <f aca="true" t="shared" si="9" ref="H41:H50">-F41*D41</f>
        <v>0</v>
      </c>
      <c r="I41" s="812">
        <f aca="true" t="shared" si="10" ref="I41:I50">I40</f>
        <v>0</v>
      </c>
      <c r="J41" s="812"/>
      <c r="K41" s="812">
        <f t="shared" si="6"/>
        <v>0</v>
      </c>
    </row>
    <row r="42" spans="1:11" ht="15.75">
      <c r="A42" s="788" t="s">
        <v>189</v>
      </c>
      <c r="B42" s="788" t="str">
        <f>+B41</f>
        <v>Year 2020</v>
      </c>
      <c r="C42" s="788"/>
      <c r="D42" s="798">
        <f t="shared" si="7"/>
        <v>0</v>
      </c>
      <c r="E42" s="798"/>
      <c r="F42" s="813">
        <f t="shared" si="8"/>
        <v>0</v>
      </c>
      <c r="G42" s="788"/>
      <c r="H42" s="812">
        <f t="shared" si="9"/>
        <v>0</v>
      </c>
      <c r="I42" s="812">
        <f t="shared" si="10"/>
        <v>0</v>
      </c>
      <c r="J42" s="812"/>
      <c r="K42" s="812">
        <f t="shared" si="6"/>
        <v>0</v>
      </c>
    </row>
    <row r="43" spans="1:11" ht="15.75">
      <c r="A43" s="788" t="s">
        <v>190</v>
      </c>
      <c r="B43" s="788" t="str">
        <f>+B42</f>
        <v>Year 2020</v>
      </c>
      <c r="C43" s="788"/>
      <c r="D43" s="798">
        <f t="shared" si="7"/>
        <v>0</v>
      </c>
      <c r="E43" s="798"/>
      <c r="F43" s="813">
        <f t="shared" si="8"/>
        <v>0</v>
      </c>
      <c r="G43" s="788"/>
      <c r="H43" s="812">
        <f t="shared" si="9"/>
        <v>0</v>
      </c>
      <c r="I43" s="812">
        <f>I42</f>
        <v>0</v>
      </c>
      <c r="J43" s="812"/>
      <c r="K43" s="812">
        <f t="shared" si="6"/>
        <v>0</v>
      </c>
    </row>
    <row r="44" spans="1:11" ht="15.75">
      <c r="A44" s="788" t="s">
        <v>384</v>
      </c>
      <c r="B44" s="788" t="str">
        <f>B43</f>
        <v>Year 2020</v>
      </c>
      <c r="C44" s="519"/>
      <c r="D44" s="798">
        <f t="shared" si="7"/>
        <v>0</v>
      </c>
      <c r="E44" s="798"/>
      <c r="F44" s="813">
        <f t="shared" si="8"/>
        <v>0</v>
      </c>
      <c r="G44" s="788"/>
      <c r="H44" s="812">
        <f t="shared" si="9"/>
        <v>0</v>
      </c>
      <c r="I44" s="812">
        <f t="shared" si="10"/>
        <v>0</v>
      </c>
      <c r="J44" s="812"/>
      <c r="K44" s="812">
        <f t="shared" si="6"/>
        <v>0</v>
      </c>
    </row>
    <row r="45" spans="1:11" ht="15.75">
      <c r="A45" s="788" t="s">
        <v>191</v>
      </c>
      <c r="B45" s="788" t="str">
        <f aca="true" t="shared" si="11" ref="B45:B50">+B44</f>
        <v>Year 2020</v>
      </c>
      <c r="C45" s="788"/>
      <c r="D45" s="798">
        <f t="shared" si="7"/>
        <v>0</v>
      </c>
      <c r="E45" s="798"/>
      <c r="F45" s="813">
        <f t="shared" si="8"/>
        <v>0</v>
      </c>
      <c r="G45" s="788"/>
      <c r="H45" s="812">
        <f t="shared" si="9"/>
        <v>0</v>
      </c>
      <c r="I45" s="812">
        <f t="shared" si="10"/>
        <v>0</v>
      </c>
      <c r="J45" s="812"/>
      <c r="K45" s="812">
        <f t="shared" si="6"/>
        <v>0</v>
      </c>
    </row>
    <row r="46" spans="1:11" ht="15.75">
      <c r="A46" s="788" t="s">
        <v>192</v>
      </c>
      <c r="B46" s="788" t="str">
        <f t="shared" si="11"/>
        <v>Year 2020</v>
      </c>
      <c r="C46" s="788"/>
      <c r="D46" s="798">
        <f t="shared" si="7"/>
        <v>0</v>
      </c>
      <c r="E46" s="798"/>
      <c r="F46" s="813">
        <f t="shared" si="8"/>
        <v>0</v>
      </c>
      <c r="G46" s="788"/>
      <c r="H46" s="812">
        <f t="shared" si="9"/>
        <v>0</v>
      </c>
      <c r="I46" s="812">
        <f t="shared" si="10"/>
        <v>0</v>
      </c>
      <c r="J46" s="812"/>
      <c r="K46" s="812">
        <f t="shared" si="6"/>
        <v>0</v>
      </c>
    </row>
    <row r="47" spans="1:11" ht="15.75">
      <c r="A47" s="788" t="s">
        <v>194</v>
      </c>
      <c r="B47" s="788" t="str">
        <f t="shared" si="11"/>
        <v>Year 2020</v>
      </c>
      <c r="C47" s="788"/>
      <c r="D47" s="798">
        <f t="shared" si="7"/>
        <v>0</v>
      </c>
      <c r="E47" s="798"/>
      <c r="F47" s="813">
        <f t="shared" si="8"/>
        <v>0</v>
      </c>
      <c r="G47" s="788"/>
      <c r="H47" s="812">
        <f t="shared" si="9"/>
        <v>0</v>
      </c>
      <c r="I47" s="812">
        <f>I46</f>
        <v>0</v>
      </c>
      <c r="J47" s="812"/>
      <c r="K47" s="812">
        <f t="shared" si="6"/>
        <v>0</v>
      </c>
    </row>
    <row r="48" spans="1:11" ht="15.75">
      <c r="A48" s="788" t="s">
        <v>564</v>
      </c>
      <c r="B48" s="788" t="str">
        <f t="shared" si="11"/>
        <v>Year 2020</v>
      </c>
      <c r="C48" s="788"/>
      <c r="D48" s="798">
        <f t="shared" si="7"/>
        <v>0</v>
      </c>
      <c r="E48" s="798"/>
      <c r="F48" s="813">
        <f t="shared" si="8"/>
        <v>0</v>
      </c>
      <c r="G48" s="788"/>
      <c r="H48" s="812">
        <f t="shared" si="9"/>
        <v>0</v>
      </c>
      <c r="I48" s="812">
        <f t="shared" si="10"/>
        <v>0</v>
      </c>
      <c r="J48" s="812"/>
      <c r="K48" s="812">
        <f t="shared" si="6"/>
        <v>0</v>
      </c>
    </row>
    <row r="49" spans="1:11" ht="15.75">
      <c r="A49" s="788" t="s">
        <v>565</v>
      </c>
      <c r="B49" s="788" t="str">
        <f t="shared" si="11"/>
        <v>Year 2020</v>
      </c>
      <c r="C49" s="788"/>
      <c r="D49" s="798">
        <f t="shared" si="7"/>
        <v>0</v>
      </c>
      <c r="E49" s="798"/>
      <c r="F49" s="813">
        <f t="shared" si="8"/>
        <v>0</v>
      </c>
      <c r="G49" s="788"/>
      <c r="H49" s="812">
        <f t="shared" si="9"/>
        <v>0</v>
      </c>
      <c r="I49" s="812">
        <f t="shared" si="10"/>
        <v>0</v>
      </c>
      <c r="J49" s="812"/>
      <c r="K49" s="812">
        <f t="shared" si="6"/>
        <v>0</v>
      </c>
    </row>
    <row r="50" spans="1:11" ht="15.75">
      <c r="A50" s="788" t="s">
        <v>193</v>
      </c>
      <c r="B50" s="788" t="str">
        <f t="shared" si="11"/>
        <v>Year 2020</v>
      </c>
      <c r="C50" s="788"/>
      <c r="D50" s="798">
        <f t="shared" si="7"/>
        <v>0</v>
      </c>
      <c r="E50" s="798"/>
      <c r="F50" s="813">
        <f t="shared" si="8"/>
        <v>0</v>
      </c>
      <c r="G50" s="788"/>
      <c r="H50" s="815">
        <f t="shared" si="9"/>
        <v>0</v>
      </c>
      <c r="I50" s="812">
        <f t="shared" si="10"/>
        <v>0</v>
      </c>
      <c r="J50" s="812"/>
      <c r="K50" s="812">
        <f t="shared" si="6"/>
        <v>0</v>
      </c>
    </row>
    <row r="51" spans="1:11" ht="15.75">
      <c r="A51" s="788"/>
      <c r="B51" s="788"/>
      <c r="C51" s="788"/>
      <c r="D51" s="798"/>
      <c r="E51" s="798"/>
      <c r="F51" s="813"/>
      <c r="G51" s="788"/>
      <c r="H51" s="812">
        <f>SUM(H39:H50)</f>
        <v>0</v>
      </c>
      <c r="I51" s="812"/>
      <c r="J51" s="812"/>
      <c r="K51" s="812"/>
    </row>
    <row r="52" spans="1:11" ht="15">
      <c r="A52" s="519"/>
      <c r="B52" s="519"/>
      <c r="C52" s="519"/>
      <c r="D52" s="519"/>
      <c r="E52" s="519"/>
      <c r="F52" s="519"/>
      <c r="G52" s="519"/>
      <c r="H52" s="519"/>
      <c r="I52" s="820"/>
      <c r="J52" s="519"/>
      <c r="K52" s="519"/>
    </row>
    <row r="53" spans="1:11" ht="15.75">
      <c r="A53" s="788" t="s">
        <v>574</v>
      </c>
      <c r="B53" s="519"/>
      <c r="C53" s="519"/>
      <c r="D53" s="519"/>
      <c r="E53" s="519"/>
      <c r="F53" s="519"/>
      <c r="G53" s="519"/>
      <c r="H53" s="519"/>
      <c r="I53" s="821">
        <f>(SUM(I39:I50)*-1)</f>
        <v>0</v>
      </c>
      <c r="J53" s="519"/>
      <c r="K53" s="519"/>
    </row>
    <row r="54" spans="1:11" ht="15.75">
      <c r="A54" s="788" t="s">
        <v>569</v>
      </c>
      <c r="B54" s="519"/>
      <c r="C54" s="519"/>
      <c r="D54" s="519"/>
      <c r="E54" s="519"/>
      <c r="F54" s="519"/>
      <c r="G54" s="519"/>
      <c r="H54" s="519"/>
      <c r="I54" s="822">
        <f>+H10</f>
        <v>0</v>
      </c>
      <c r="J54" s="519"/>
      <c r="K54" s="519"/>
    </row>
    <row r="55" spans="1:11" ht="15.75">
      <c r="A55" s="788" t="s">
        <v>570</v>
      </c>
      <c r="B55" s="519"/>
      <c r="C55" s="519"/>
      <c r="D55" s="519"/>
      <c r="E55" s="519"/>
      <c r="F55" s="519"/>
      <c r="G55" s="519"/>
      <c r="H55" s="519"/>
      <c r="I55" s="821">
        <f>(I53+I54)</f>
        <v>0</v>
      </c>
      <c r="J55" s="519"/>
      <c r="K55" s="519"/>
    </row>
    <row r="56" spans="1:11" ht="12.75">
      <c r="A56" s="412"/>
      <c r="B56" s="412"/>
      <c r="C56" s="412"/>
      <c r="D56" s="412"/>
      <c r="E56" s="412"/>
      <c r="F56" s="412"/>
      <c r="G56" s="412"/>
      <c r="H56" s="412"/>
      <c r="I56" s="412"/>
      <c r="J56" s="412"/>
      <c r="K56" s="412"/>
    </row>
    <row r="57" spans="1:11" ht="78.75" customHeight="1">
      <c r="A57" s="1564" t="s">
        <v>575</v>
      </c>
      <c r="B57" s="1564"/>
      <c r="C57" s="1564"/>
      <c r="D57" s="1564"/>
      <c r="E57" s="823"/>
      <c r="F57" s="823"/>
      <c r="G57" s="823"/>
      <c r="H57" s="823"/>
      <c r="I57" s="823"/>
      <c r="J57" s="823"/>
      <c r="K57" s="823"/>
    </row>
    <row r="58" spans="1:11" ht="13.5">
      <c r="A58" s="824"/>
      <c r="B58" s="412"/>
      <c r="C58" s="412"/>
      <c r="D58" s="412"/>
      <c r="E58" s="412"/>
      <c r="F58" s="825"/>
      <c r="G58" s="412"/>
      <c r="H58" s="412"/>
      <c r="I58" s="826"/>
      <c r="J58" s="412"/>
      <c r="K58" s="412"/>
    </row>
    <row r="59" spans="1:11" ht="15.75">
      <c r="A59" s="827"/>
      <c r="B59" s="828"/>
      <c r="C59" s="829"/>
      <c r="D59" s="829"/>
      <c r="E59" s="829"/>
      <c r="F59" s="829"/>
      <c r="G59" s="829"/>
      <c r="H59" s="829"/>
      <c r="I59" s="830"/>
      <c r="J59" s="829"/>
      <c r="K59" s="829"/>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Q221"/>
  <sheetViews>
    <sheetView zoomScale="75" zoomScaleNormal="75" zoomScaleSheetLayoutView="100" zoomScalePageLayoutView="0" workbookViewId="0" topLeftCell="A22">
      <selection activeCell="E41" sqref="E41"/>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spans="1:11" ht="15">
      <c r="A1" s="1480" t="s">
        <v>389</v>
      </c>
      <c r="B1" s="1480"/>
      <c r="C1" s="1480"/>
      <c r="D1" s="1480"/>
      <c r="E1" s="1480"/>
      <c r="F1" s="1480"/>
      <c r="G1" s="1480"/>
      <c r="H1" s="1480"/>
      <c r="I1" s="1480"/>
      <c r="J1" s="40"/>
      <c r="K1" s="40"/>
    </row>
    <row r="2" spans="1:11" ht="15">
      <c r="A2" s="1481" t="str">
        <f>"Cost of Service Formula Rate Using Actual/Projected FF1 Balances"</f>
        <v>Cost of Service Formula Rate Using Actual/Projected FF1 Balances</v>
      </c>
      <c r="B2" s="1481"/>
      <c r="C2" s="1481"/>
      <c r="D2" s="1481"/>
      <c r="E2" s="1481"/>
      <c r="F2" s="1481"/>
      <c r="G2" s="1481"/>
      <c r="H2" s="1481"/>
      <c r="I2" s="1481"/>
      <c r="J2" s="90"/>
      <c r="K2" s="90"/>
    </row>
    <row r="3" spans="1:11" ht="15">
      <c r="A3" s="1481" t="s">
        <v>473</v>
      </c>
      <c r="B3" s="1481"/>
      <c r="C3" s="1481"/>
      <c r="D3" s="1481"/>
      <c r="E3" s="1481"/>
      <c r="F3" s="1481"/>
      <c r="G3" s="1481"/>
      <c r="H3" s="1481"/>
      <c r="I3" s="1481"/>
      <c r="J3" s="89"/>
      <c r="K3" s="89"/>
    </row>
    <row r="4" spans="1:13" ht="15">
      <c r="A4" s="1492" t="str">
        <f>'I&amp;M TCOS'!F7</f>
        <v>INDIANA MICHIGAN POWER COMPANY</v>
      </c>
      <c r="B4" s="1492"/>
      <c r="C4" s="1492"/>
      <c r="D4" s="1492"/>
      <c r="E4" s="1492"/>
      <c r="F4" s="1492"/>
      <c r="G4" s="1492"/>
      <c r="H4" s="1492"/>
      <c r="I4" s="1492"/>
      <c r="J4" s="4"/>
      <c r="K4" s="4"/>
      <c r="L4"/>
      <c r="M4"/>
    </row>
    <row r="5" spans="3:4" ht="12.75">
      <c r="C5" s="34"/>
      <c r="D5" s="34"/>
    </row>
    <row r="6" spans="3:15" ht="12.75">
      <c r="C6" s="8" t="s">
        <v>164</v>
      </c>
      <c r="D6" s="8" t="s">
        <v>165</v>
      </c>
      <c r="E6" s="8" t="s">
        <v>166</v>
      </c>
      <c r="G6" s="8" t="s">
        <v>167</v>
      </c>
      <c r="I6" s="8" t="s">
        <v>85</v>
      </c>
      <c r="J6" s="8"/>
      <c r="K6" s="8"/>
      <c r="L6" s="8"/>
      <c r="M6"/>
      <c r="N6"/>
      <c r="O6"/>
    </row>
    <row r="7" spans="1:15" ht="12.75">
      <c r="A7" s="88"/>
      <c r="I7" s="14"/>
      <c r="J7"/>
      <c r="K7"/>
      <c r="L7"/>
      <c r="M7"/>
      <c r="N7"/>
      <c r="O7"/>
    </row>
    <row r="8" spans="1:15" ht="12.75" customHeight="1">
      <c r="A8" s="12" t="s">
        <v>171</v>
      </c>
      <c r="C8" s="35"/>
      <c r="D8" s="35"/>
      <c r="E8" s="1490" t="str">
        <f>"Balance @ December 31, "&amp;'I&amp;M TCOS'!L2&amp;""</f>
        <v>Balance @ December 31, 2017</v>
      </c>
      <c r="F8" s="136"/>
      <c r="G8" s="1490" t="str">
        <f>"Balance @ December 31, "&amp;'I&amp;M TCOS'!L2-1&amp;""</f>
        <v>Balance @ December 31, 2016</v>
      </c>
      <c r="H8" s="136"/>
      <c r="I8" s="1493" t="str">
        <f>"Average Balance for "&amp;'I&amp;M TCOS'!L2&amp;""</f>
        <v>Average Balance for 2017</v>
      </c>
      <c r="J8"/>
      <c r="K8"/>
      <c r="L8"/>
      <c r="M8"/>
      <c r="N8"/>
      <c r="O8"/>
    </row>
    <row r="9" spans="1:15" ht="12.75">
      <c r="A9" s="12" t="s">
        <v>107</v>
      </c>
      <c r="B9" s="11"/>
      <c r="C9" s="12" t="s">
        <v>169</v>
      </c>
      <c r="D9" s="12" t="s">
        <v>208</v>
      </c>
      <c r="E9" s="1491"/>
      <c r="F9" s="80"/>
      <c r="G9" s="1491"/>
      <c r="H9" s="237"/>
      <c r="I9" s="1491"/>
      <c r="J9"/>
      <c r="K9"/>
      <c r="L9"/>
      <c r="M9"/>
      <c r="N9"/>
      <c r="O9"/>
    </row>
    <row r="10" spans="1:11" ht="12.75">
      <c r="A10" s="88"/>
      <c r="C10" s="34"/>
      <c r="D10" s="34"/>
      <c r="G10" s="249"/>
      <c r="J10" s="26"/>
      <c r="K10" s="26"/>
    </row>
    <row r="11" spans="1:11" ht="12.75">
      <c r="A11" s="88"/>
      <c r="C11" s="34"/>
      <c r="D11" s="34"/>
      <c r="J11" s="26"/>
      <c r="K11" s="26"/>
    </row>
    <row r="12" spans="1:11" ht="12.75">
      <c r="A12" s="88"/>
      <c r="C12" s="34"/>
      <c r="D12" s="34"/>
      <c r="J12" s="26"/>
      <c r="K12" s="26"/>
    </row>
    <row r="13" spans="1:11" ht="15.75">
      <c r="A13" s="88">
        <v>1</v>
      </c>
      <c r="C13" s="54" t="s">
        <v>511</v>
      </c>
      <c r="D13" s="54"/>
      <c r="J13" s="26"/>
      <c r="K13" s="26"/>
    </row>
    <row r="14" spans="1:11" ht="15.75">
      <c r="A14" s="88"/>
      <c r="C14" s="54"/>
      <c r="D14" s="54"/>
      <c r="H14"/>
      <c r="J14" s="26"/>
      <c r="K14" s="26"/>
    </row>
    <row r="15" spans="1:11" ht="12.75">
      <c r="A15" s="88">
        <f>+A13+1</f>
        <v>2</v>
      </c>
      <c r="C15" s="56" t="s">
        <v>517</v>
      </c>
      <c r="D15" s="79" t="s">
        <v>519</v>
      </c>
      <c r="E15" s="838">
        <f>SUM('I&amp;M WS B-1 - Actual Stmt. AF'!U23:X23)</f>
        <v>29431106</v>
      </c>
      <c r="G15" s="871">
        <f>SUM('I&amp;M WS B-1 - Actual Stmt. AF'!O23:R23)</f>
        <v>13008872</v>
      </c>
      <c r="H15"/>
      <c r="I15" s="132">
        <f>IF(G15="",0,(E15+G15)/2)</f>
        <v>21219989</v>
      </c>
      <c r="J15" s="26"/>
      <c r="K15" s="26"/>
    </row>
    <row r="16" spans="1:11" ht="12.75">
      <c r="A16" s="88">
        <f>+A15+1</f>
        <v>3</v>
      </c>
      <c r="C16" s="56" t="s">
        <v>521</v>
      </c>
      <c r="D16" s="296" t="str">
        <f>"WS B-1 - Actual Stmt. AF Ln. "&amp;'I&amp;M WS B-1 - Actual Stmt. AF'!A24&amp;" (Note 1)"</f>
        <v>WS B-1 - Actual Stmt. AF Ln. 4 (Note 1)</v>
      </c>
      <c r="E16" s="838">
        <f>SUM('I&amp;M WS B-1 - Actual Stmt. AF'!U24:X24)</f>
        <v>0</v>
      </c>
      <c r="G16" s="883">
        <f>SUM('I&amp;M WS B-1 - Actual Stmt. AF'!O24:R24)</f>
        <v>0</v>
      </c>
      <c r="H16"/>
      <c r="I16" s="132">
        <f>IF(G16="",0,(E16+G16)/2)</f>
        <v>0</v>
      </c>
      <c r="J16" s="26"/>
      <c r="K16" s="26"/>
    </row>
    <row r="17" spans="1:11" ht="15">
      <c r="A17" s="88">
        <f>+A16+1</f>
        <v>4</v>
      </c>
      <c r="C17" s="56" t="s">
        <v>522</v>
      </c>
      <c r="D17" s="296" t="str">
        <f>"WS B-1 - Actual Stmt. AF Ln. "&amp;'I&amp;M WS B-1 - Actual Stmt. AF'!A23&amp;" (Note 1)"</f>
        <v>WS B-1 - Actual Stmt. AF Ln. 3 (Note 1)</v>
      </c>
      <c r="E17" s="839">
        <f>SUM('I&amp;M WS B-1 - Actual Stmt. AF'!U23,'I&amp;M WS B-1 - Actual Stmt. AF'!X23)-(SUM('I&amp;M WS B-1 - Actual Stmt. AF'!U24,'I&amp;M WS B-1 - Actual Stmt. AF'!X24))</f>
        <v>29431106</v>
      </c>
      <c r="G17" s="872">
        <f>SUM('I&amp;M WS B-1 - Actual Stmt. AF'!O23,'I&amp;M WS B-1 - Actual Stmt. AF'!R23)-SUM('I&amp;M WS B-1 - Actual Stmt. AF'!O24,'I&amp;M WS B-1 - Actual Stmt. AF'!R24)</f>
        <v>13008872</v>
      </c>
      <c r="I17" s="216">
        <f>IF(G17="",0,(E17+G17)/2)</f>
        <v>21219989</v>
      </c>
      <c r="J17" s="26"/>
      <c r="K17" s="26"/>
    </row>
    <row r="18" spans="1:11" ht="12.75">
      <c r="A18" s="88">
        <f>+A17+1</f>
        <v>5</v>
      </c>
      <c r="C18" s="56" t="s">
        <v>518</v>
      </c>
      <c r="D18" s="137" t="str">
        <f>"Ln "&amp;A15&amp;" - ln "&amp;A16&amp;" - ln "&amp;A17&amp;""</f>
        <v>Ln 2 - ln 3 - ln 4</v>
      </c>
      <c r="E18" s="27">
        <f>+E15-E16-E17</f>
        <v>0</v>
      </c>
      <c r="G18" s="27">
        <f>+G15-G16-G17</f>
        <v>0</v>
      </c>
      <c r="I18" s="132">
        <f>+I15-I16-I17</f>
        <v>0</v>
      </c>
      <c r="J18" s="26"/>
      <c r="K18" s="26"/>
    </row>
    <row r="19" spans="1:11" ht="12.75">
      <c r="A19" s="88"/>
      <c r="C19" s="56"/>
      <c r="D19" s="137"/>
      <c r="J19" s="26"/>
      <c r="K19" s="26"/>
    </row>
    <row r="20" spans="1:15" ht="12.75">
      <c r="A20" s="88"/>
      <c r="C20" s="56"/>
      <c r="D20" s="137"/>
      <c r="J20" s="26"/>
      <c r="K20" s="27"/>
      <c r="L20" s="27"/>
      <c r="M20" s="27"/>
      <c r="N20" s="27"/>
      <c r="O20" s="27"/>
    </row>
    <row r="21" spans="1:15" ht="15.75">
      <c r="A21" s="88">
        <f>+A18+1</f>
        <v>6</v>
      </c>
      <c r="C21" s="54" t="s">
        <v>512</v>
      </c>
      <c r="D21" s="137"/>
      <c r="J21" s="26"/>
      <c r="K21" s="27"/>
      <c r="L21" s="27"/>
      <c r="M21" s="27"/>
      <c r="N21" s="27"/>
      <c r="O21" s="27"/>
    </row>
    <row r="22" spans="1:15" ht="12.75">
      <c r="A22" s="88"/>
      <c r="C22" s="56"/>
      <c r="D22" s="137"/>
      <c r="J22" s="26"/>
      <c r="K22" s="27"/>
      <c r="L22" s="27"/>
      <c r="M22" s="27"/>
      <c r="N22" s="27"/>
      <c r="O22" s="27"/>
    </row>
    <row r="23" spans="1:15" ht="12.75">
      <c r="A23" s="88">
        <f>+A21+1</f>
        <v>7</v>
      </c>
      <c r="C23" s="56" t="s">
        <v>517</v>
      </c>
      <c r="D23" s="79" t="s">
        <v>451</v>
      </c>
      <c r="E23" s="875">
        <f>SUM('I&amp;M WS B-1 - Actual Stmt. AF'!U88:Y88)</f>
        <v>1379310545.0300002</v>
      </c>
      <c r="G23" s="873">
        <f>SUM('I&amp;M WS B-1 - Actual Stmt. AF'!O88:R88)</f>
        <v>1200135173.5</v>
      </c>
      <c r="H23"/>
      <c r="I23" s="132">
        <f>IF(G23="",0,(E23+G23)/2)</f>
        <v>1289722859.265</v>
      </c>
      <c r="J23" s="26"/>
      <c r="K23" s="27"/>
      <c r="L23" s="27"/>
      <c r="M23" s="27"/>
      <c r="N23" s="27"/>
      <c r="O23" s="27"/>
    </row>
    <row r="24" spans="1:15" ht="12.75">
      <c r="A24" s="88">
        <f>+A23+1</f>
        <v>8</v>
      </c>
      <c r="C24" s="56" t="s">
        <v>521</v>
      </c>
      <c r="D24" s="296" t="str">
        <f>"WS B-1 - Actual Stmt. AF Ln. "&amp;'I&amp;M WS B-1 - Actual Stmt. AF'!A89&amp;" (Note 1)"</f>
        <v>WS B-1 - Actual Stmt. AF Ln. 7 (Note 1)</v>
      </c>
      <c r="E24" s="875">
        <f>SUM('I&amp;M WS B-1 - Actual Stmt. AF'!U89:Y89)</f>
        <v>26804213.669999998</v>
      </c>
      <c r="G24" s="873">
        <f>SUM('I&amp;M WS B-1 - Actual Stmt. AF'!O89:R89)</f>
        <v>24483096.34</v>
      </c>
      <c r="H24"/>
      <c r="I24" s="132">
        <f>IF(G24="",0,(E24+G24)/2)</f>
        <v>25643655.005</v>
      </c>
      <c r="J24" s="26"/>
      <c r="K24" s="27"/>
      <c r="L24" s="27"/>
      <c r="M24" s="27"/>
      <c r="N24" s="27"/>
      <c r="O24" s="27"/>
    </row>
    <row r="25" spans="1:15" ht="15">
      <c r="A25" s="88">
        <f>+A24+1</f>
        <v>9</v>
      </c>
      <c r="C25" s="56" t="s">
        <v>522</v>
      </c>
      <c r="D25" s="296" t="str">
        <f>"WS B-1 - Actual Stmt. AF Ln. "&amp;'I&amp;M WS B-1 - Actual Stmt. AF'!A88&amp;" (Note 1)"</f>
        <v>WS B-1 - Actual Stmt. AF Ln. 6 (Note 1)</v>
      </c>
      <c r="E25" s="876">
        <f>SUM(('I&amp;M WS B-1 - Actual Stmt. AF'!U88+'I&amp;M WS B-1 - Actual Stmt. AF'!V88+'I&amp;M WS B-1 - Actual Stmt. AF'!X88+'I&amp;M WS B-1 - Actual Stmt. AF'!Y88)-('I&amp;M WS B-1 - Actual Stmt. AF'!U89+'I&amp;M WS B-1 - Actual Stmt. AF'!V89+'I&amp;M WS B-1 - Actual Stmt. AF'!X89+'I&amp;M WS B-1 - Actual Stmt. AF'!Y89))</f>
        <v>1115983947.19</v>
      </c>
      <c r="G25" s="874">
        <f>SUM(('I&amp;M WS B-1 - Actual Stmt. AF'!O88+'I&amp;M WS B-1 - Actual Stmt. AF'!P88+'I&amp;M WS B-1 - Actual Stmt. AF'!R88+'I&amp;M WS B-1 - Actual Stmt. AF'!S88)-('I&amp;M WS B-1 - Actual Stmt. AF'!O89+'I&amp;M WS B-1 - Actual Stmt. AF'!P89+'I&amp;M WS B-1 - Actual Stmt. AF'!R89+'I&amp;M WS B-1 - Actual Stmt. AF'!S89))</f>
        <v>975813810.77</v>
      </c>
      <c r="I25" s="216">
        <f>IF(G25="",0,(E25+G25)/2)</f>
        <v>1045898878.98</v>
      </c>
      <c r="J25" s="26"/>
      <c r="K25" s="27"/>
      <c r="L25" s="27"/>
      <c r="M25" s="27"/>
      <c r="N25" s="27"/>
      <c r="O25" s="27"/>
    </row>
    <row r="26" spans="1:15" ht="12.75">
      <c r="A26" s="88">
        <f>+A25+1</f>
        <v>10</v>
      </c>
      <c r="C26" s="56" t="s">
        <v>518</v>
      </c>
      <c r="D26" s="137" t="str">
        <f>"Ln "&amp;A23&amp;" - ln "&amp;A24&amp;" - ln "&amp;A25&amp;""</f>
        <v>Ln 7 - ln 8 - ln 9</v>
      </c>
      <c r="E26" s="27">
        <f>+E23-E24-E25</f>
        <v>236522384.17000008</v>
      </c>
      <c r="G26" s="27">
        <f>+G23-G24-G25</f>
        <v>199838266.3900001</v>
      </c>
      <c r="I26" s="132">
        <f>+I23-I24-I25</f>
        <v>218180325.27999997</v>
      </c>
      <c r="J26" s="26"/>
      <c r="K26" s="27"/>
      <c r="L26" s="27"/>
      <c r="M26" s="27"/>
      <c r="N26" s="27"/>
      <c r="O26" s="27"/>
    </row>
    <row r="27" spans="1:17" ht="12.75">
      <c r="A27" s="88"/>
      <c r="C27" s="56"/>
      <c r="D27" s="137"/>
      <c r="J27" s="26"/>
      <c r="K27" s="27"/>
      <c r="L27" s="27"/>
      <c r="M27" s="27"/>
      <c r="N27" s="27"/>
      <c r="O27" s="27"/>
      <c r="P27" s="27"/>
      <c r="Q27" s="27"/>
    </row>
    <row r="28" spans="1:17" ht="12.75">
      <c r="A28" s="88"/>
      <c r="C28" s="56"/>
      <c r="D28" s="137"/>
      <c r="E28" s="134"/>
      <c r="G28" s="134"/>
      <c r="J28" s="26"/>
      <c r="K28" s="27"/>
      <c r="L28" s="27"/>
      <c r="M28" s="27"/>
      <c r="N28" s="27"/>
      <c r="O28" s="27"/>
      <c r="P28" s="27"/>
      <c r="Q28" s="27"/>
    </row>
    <row r="29" spans="1:17" ht="15.75">
      <c r="A29" s="88">
        <f>+A26+1</f>
        <v>11</v>
      </c>
      <c r="C29" s="54" t="s">
        <v>513</v>
      </c>
      <c r="D29" s="137"/>
      <c r="J29" s="26"/>
      <c r="K29" s="27"/>
      <c r="L29" s="27"/>
      <c r="M29" s="27"/>
      <c r="N29" s="27"/>
      <c r="O29" s="27"/>
      <c r="P29" s="27"/>
      <c r="Q29" s="27"/>
    </row>
    <row r="30" spans="1:17" ht="15.75">
      <c r="A30" s="88"/>
      <c r="C30" s="54"/>
      <c r="D30" s="137"/>
      <c r="J30" s="26"/>
      <c r="K30" s="27"/>
      <c r="L30" s="27"/>
      <c r="M30" s="27"/>
      <c r="N30" s="27"/>
      <c r="O30" s="27"/>
      <c r="P30" s="27"/>
      <c r="Q30" s="27"/>
    </row>
    <row r="31" spans="1:17" ht="12.75">
      <c r="A31" s="88">
        <f>+A29+1</f>
        <v>12</v>
      </c>
      <c r="C31" s="56" t="s">
        <v>517</v>
      </c>
      <c r="D31" s="79" t="s">
        <v>520</v>
      </c>
      <c r="E31" s="877">
        <f>SUM('I&amp;M WS B-1 - Actual Stmt. AF'!U222:Y222)</f>
        <v>916243902.98</v>
      </c>
      <c r="G31" s="879">
        <f>SUM('I&amp;M WS B-1 - Actual Stmt. AF'!O222:R222)</f>
        <v>846485258.6999999</v>
      </c>
      <c r="H31"/>
      <c r="I31" s="132">
        <f>IF(G31="",0,(E31+G31)/2)</f>
        <v>881364580.8399999</v>
      </c>
      <c r="J31" s="26"/>
      <c r="K31" s="27"/>
      <c r="L31" s="27"/>
      <c r="M31" s="27"/>
      <c r="N31" s="27"/>
      <c r="O31" s="27"/>
      <c r="P31" s="27"/>
      <c r="Q31" s="27"/>
    </row>
    <row r="32" spans="1:15" ht="12.75">
      <c r="A32" s="88">
        <f>+A31+1</f>
        <v>13</v>
      </c>
      <c r="C32" s="56" t="s">
        <v>521</v>
      </c>
      <c r="D32" s="296" t="str">
        <f>"WS B-1 - Actual Stmt. AF Ln. "&amp;'I&amp;M WS B-1 - Actual Stmt. AF'!A223&amp;" (Note 1)"</f>
        <v>WS B-1 - Actual Stmt. AF Ln. 13 (Note 1)</v>
      </c>
      <c r="E32" s="877">
        <f>SUM('I&amp;M WS B-1 - Actual Stmt. AF'!U223:Y223)</f>
        <v>766470706.99</v>
      </c>
      <c r="G32" s="879">
        <f>SUM('I&amp;M WS B-1 - Actual Stmt. AF'!O223:R223)</f>
        <v>671966147.34</v>
      </c>
      <c r="H32"/>
      <c r="I32" s="132">
        <f>IF(G32="",0,(E32+G32)/2)</f>
        <v>719218427.165</v>
      </c>
      <c r="J32" s="26"/>
      <c r="K32" s="1067"/>
      <c r="L32" s="1067"/>
      <c r="M32" s="1067"/>
      <c r="N32" s="1067"/>
      <c r="O32" s="1067"/>
    </row>
    <row r="33" spans="1:11" ht="15">
      <c r="A33" s="88">
        <f>+A32+1</f>
        <v>14</v>
      </c>
      <c r="C33" s="56" t="s">
        <v>522</v>
      </c>
      <c r="D33" s="296" t="str">
        <f>"WS B-1 - Actual Stmt. AF Ln. "&amp;'I&amp;M WS B-1 - Actual Stmt. AF'!A222&amp;" (Note 1)"</f>
        <v>WS B-1 - Actual Stmt. AF Ln. 12 (Note 1)</v>
      </c>
      <c r="E33" s="878">
        <f>SUM(('I&amp;M WS B-1 - Actual Stmt. AF'!U222+'I&amp;M WS B-1 - Actual Stmt. AF'!V222+'I&amp;M WS B-1 - Actual Stmt. AF'!X222+'I&amp;M WS B-1 - Actual Stmt. AF'!Y222)-('I&amp;M WS B-1 - Actual Stmt. AF'!U223+'I&amp;M WS B-1 - Actual Stmt. AF'!V223+'I&amp;M WS B-1 - Actual Stmt. AF'!X223+'I&amp;M WS B-1 - Actual Stmt. AF'!Y223))</f>
        <v>142966992.01999998</v>
      </c>
      <c r="G33" s="880">
        <f>SUM(('I&amp;M WS B-1 - Actual Stmt. AF'!O222+'I&amp;M WS B-1 - Actual Stmt. AF'!P222+'I&amp;M WS B-1 - Actual Stmt. AF'!R222+'I&amp;M WS B-1 - Actual Stmt. AF'!S222)-('I&amp;M WS B-1 - Actual Stmt. AF'!O223+'I&amp;M WS B-1 - Actual Stmt. AF'!P223+'I&amp;M WS B-1 - Actual Stmt. AF'!R223+'I&amp;M WS B-1 - Actual Stmt. AF'!S223))</f>
        <v>166919079.5999999</v>
      </c>
      <c r="I33" s="216">
        <f>IF(G33="",0,(E33+G33)/2)</f>
        <v>154943035.80999994</v>
      </c>
      <c r="J33" s="26"/>
      <c r="K33" s="26"/>
    </row>
    <row r="34" spans="1:11" ht="12.75">
      <c r="A34" s="88">
        <f>+A33+1</f>
        <v>15</v>
      </c>
      <c r="C34" s="56" t="s">
        <v>518</v>
      </c>
      <c r="D34" s="137" t="str">
        <f>"Ln "&amp;A31&amp;" - ln "&amp;A32&amp;" - ln "&amp;A33&amp;""</f>
        <v>Ln 12 - ln 13 - ln 14</v>
      </c>
      <c r="E34" s="27">
        <f>+E31-E32-E33</f>
        <v>6806203.970000029</v>
      </c>
      <c r="G34" s="27">
        <f>+G31-G32-G33</f>
        <v>7600031.75999999</v>
      </c>
      <c r="I34" s="132">
        <f>+I31-I32-I33</f>
        <v>7203117.86500001</v>
      </c>
      <c r="J34" s="26"/>
      <c r="K34" s="26"/>
    </row>
    <row r="35" spans="1:16" ht="15.75">
      <c r="A35" s="88"/>
      <c r="C35" s="54"/>
      <c r="D35" s="137"/>
      <c r="J35" s="26"/>
      <c r="K35" s="27"/>
      <c r="L35" s="27"/>
      <c r="M35" s="27"/>
      <c r="N35" s="27"/>
      <c r="O35" s="27"/>
      <c r="P35" s="27"/>
    </row>
    <row r="36" spans="1:16" ht="12.75">
      <c r="A36" s="88"/>
      <c r="C36" s="56"/>
      <c r="D36" s="137"/>
      <c r="J36" s="26"/>
      <c r="K36" s="27"/>
      <c r="L36" s="27"/>
      <c r="M36" s="27"/>
      <c r="N36" s="27"/>
      <c r="O36" s="27"/>
      <c r="P36" s="27"/>
    </row>
    <row r="37" spans="1:16" ht="15.75">
      <c r="A37" s="88">
        <f>+A34+1</f>
        <v>16</v>
      </c>
      <c r="C37" s="54" t="s">
        <v>514</v>
      </c>
      <c r="D37" s="137"/>
      <c r="J37" s="26"/>
      <c r="K37" s="27"/>
      <c r="L37" s="27"/>
      <c r="M37" s="27"/>
      <c r="N37" s="27"/>
      <c r="O37" s="27"/>
      <c r="P37" s="27"/>
    </row>
    <row r="38" spans="1:16" ht="12.75">
      <c r="A38" s="88"/>
      <c r="C38" s="56"/>
      <c r="D38" s="137"/>
      <c r="J38" s="26"/>
      <c r="K38" s="27"/>
      <c r="L38" s="27"/>
      <c r="M38" s="27"/>
      <c r="N38" s="27"/>
      <c r="O38" s="27"/>
      <c r="P38" s="27"/>
    </row>
    <row r="39" spans="1:15" ht="12.75">
      <c r="A39" s="88">
        <f>+A37+1</f>
        <v>17</v>
      </c>
      <c r="C39" s="56" t="s">
        <v>517</v>
      </c>
      <c r="D39" s="79" t="s">
        <v>516</v>
      </c>
      <c r="E39" s="881">
        <f>SUM('I&amp;M WS B-2 - Actual Stmt. AG'!U136:Y136)</f>
        <v>891603051.5799999</v>
      </c>
      <c r="G39" s="883">
        <f>SUM('I&amp;M WS B-2 - Actual Stmt. AG'!O136:S136)</f>
        <v>825842419.85</v>
      </c>
      <c r="H39"/>
      <c r="I39" s="132">
        <f>IF(G39="",0,(E39+G39)/2)</f>
        <v>858722735.7149999</v>
      </c>
      <c r="J39" s="26"/>
      <c r="K39" s="27"/>
      <c r="L39" s="27"/>
      <c r="M39" s="27"/>
      <c r="N39" s="27"/>
      <c r="O39" s="27"/>
    </row>
    <row r="40" spans="1:15" ht="12.75">
      <c r="A40" s="88">
        <f>+A39+1</f>
        <v>18</v>
      </c>
      <c r="C40" s="56" t="s">
        <v>521</v>
      </c>
      <c r="D40" s="296" t="str">
        <f>"WS B-2 - Actual Stmt. AG Ln. "&amp;'I&amp;M WS B-2 - Actual Stmt. AG'!A137&amp;" (Note 1)"</f>
        <v>WS B-2 - Actual Stmt. AG Ln. 4 (Note 1)</v>
      </c>
      <c r="E40" s="881">
        <f>SUM('I&amp;M WS B-2 - Actual Stmt. AG'!U137:Y137)</f>
        <v>793380249.74</v>
      </c>
      <c r="G40" s="883">
        <f>SUM('I&amp;M WS B-2 - Actual Stmt. AG'!O137:S137)</f>
        <v>696241689.99</v>
      </c>
      <c r="H40"/>
      <c r="I40" s="132">
        <f>IF(G40="",0,(E40+G40)/2)</f>
        <v>744810969.865</v>
      </c>
      <c r="J40" s="26"/>
      <c r="K40" s="27"/>
      <c r="L40" s="27"/>
      <c r="M40" s="27"/>
      <c r="N40" s="27"/>
      <c r="O40" s="27"/>
    </row>
    <row r="41" spans="1:15" ht="15">
      <c r="A41" s="88">
        <f>+A40+1</f>
        <v>19</v>
      </c>
      <c r="C41" s="56" t="s">
        <v>522</v>
      </c>
      <c r="D41" s="296" t="str">
        <f>"WS B-2 - Actual Stmt. AG Ln. "&amp;'I&amp;M WS B-2 - Actual Stmt. AG'!A136&amp;" (Note 1)"</f>
        <v>WS B-2 - Actual Stmt. AG Ln. 3 (Note 1)</v>
      </c>
      <c r="E41" s="882">
        <f>SUM('I&amp;M WS B-2 - Actual Stmt. AG'!U136+'I&amp;M WS B-2 - Actual Stmt. AG'!V136+'I&amp;M WS B-2 - Actual Stmt. AG'!X136+'I&amp;M WS B-2 - Actual Stmt. AG'!Y136)-'I&amp;M WS B-2 - Actual Stmt. AG'!U137-'I&amp;M WS B-2 - Actual Stmt. AG'!V137-'I&amp;M WS B-2 - Actual Stmt. AG'!X137-'I&amp;M WS B-2 - Actual Stmt. AG'!Y137</f>
        <v>84259912.28000003</v>
      </c>
      <c r="G41" s="884">
        <f>SUM('I&amp;M WS B-2 - Actual Stmt. AG'!O136+'I&amp;M WS B-2 - Actual Stmt. AG'!P136+'I&amp;M WS B-2 - Actual Stmt. AG'!R136+'I&amp;M WS B-2 - Actual Stmt. AG'!S136)-SUM('I&amp;M WS B-2 - Actual Stmt. AG'!O137+'I&amp;M WS B-2 - Actual Stmt. AG'!P137+'I&amp;M WS B-2 - Actual Stmt. AG'!R137+'I&amp;M WS B-2 - Actual Stmt. AG'!S137)</f>
        <v>116421037.30000007</v>
      </c>
      <c r="I41" s="216">
        <f>IF(G41="",0,(E41+G41)/2)</f>
        <v>100340474.79000005</v>
      </c>
      <c r="J41" s="26"/>
      <c r="K41" s="27"/>
      <c r="L41" s="27"/>
      <c r="M41" s="27"/>
      <c r="N41" s="27"/>
      <c r="O41" s="27"/>
    </row>
    <row r="42" spans="1:11" ht="12.75">
      <c r="A42" s="88">
        <f>+A41+1</f>
        <v>20</v>
      </c>
      <c r="C42" s="56" t="s">
        <v>518</v>
      </c>
      <c r="D42" s="137" t="str">
        <f>"Ln "&amp;A39&amp;" - ln "&amp;A40&amp;" - ln "&amp;A41&amp;""</f>
        <v>Ln 17 - ln 18 - ln 19</v>
      </c>
      <c r="E42" s="27">
        <f>+E39-E40-E41</f>
        <v>13962889.559999883</v>
      </c>
      <c r="G42" s="27">
        <f>+G39-G40-G41</f>
        <v>13179692.559999943</v>
      </c>
      <c r="I42" s="132">
        <f>+I39-I40-I41</f>
        <v>13571291.059999853</v>
      </c>
      <c r="J42" s="26"/>
      <c r="K42" s="26"/>
    </row>
    <row r="43" spans="1:11" ht="12.75">
      <c r="A43" s="88"/>
      <c r="C43" s="56"/>
      <c r="D43" s="137"/>
      <c r="J43" s="26"/>
      <c r="K43" s="26"/>
    </row>
    <row r="44" spans="1:11" ht="12.75">
      <c r="A44" s="88"/>
      <c r="C44" s="56"/>
      <c r="D44" s="137"/>
      <c r="J44" s="26"/>
      <c r="K44" s="26"/>
    </row>
    <row r="45" spans="1:11" ht="15.75">
      <c r="A45" s="88">
        <f>+A42+1</f>
        <v>21</v>
      </c>
      <c r="C45" s="54" t="s">
        <v>515</v>
      </c>
      <c r="D45" s="137"/>
      <c r="J45" s="26"/>
      <c r="K45" s="26"/>
    </row>
    <row r="46" spans="1:15" ht="12.75">
      <c r="A46" s="88"/>
      <c r="C46" s="56"/>
      <c r="D46" s="137"/>
      <c r="J46" s="26"/>
      <c r="K46" s="27"/>
      <c r="L46" s="27"/>
      <c r="M46" s="27"/>
      <c r="N46" s="27"/>
      <c r="O46" s="27"/>
    </row>
    <row r="47" spans="1:15" ht="12.75">
      <c r="A47" s="88">
        <f>+A45+1</f>
        <v>22</v>
      </c>
      <c r="C47" s="56" t="s">
        <v>523</v>
      </c>
      <c r="D47" s="79" t="s">
        <v>472</v>
      </c>
      <c r="E47" s="838">
        <v>34075627</v>
      </c>
      <c r="G47" s="838">
        <v>38781415</v>
      </c>
      <c r="H47"/>
      <c r="I47" s="132">
        <f>IF(G47="",0,(E47+G47)/2)</f>
        <v>36428521</v>
      </c>
      <c r="J47" s="26"/>
      <c r="K47" s="27"/>
      <c r="L47" s="27"/>
      <c r="M47" s="27"/>
      <c r="N47" s="27"/>
      <c r="O47" s="27"/>
    </row>
    <row r="48" spans="1:15" ht="15">
      <c r="A48" s="88">
        <f>+A47+1</f>
        <v>23</v>
      </c>
      <c r="C48" s="56" t="s">
        <v>524</v>
      </c>
      <c r="D48" s="296" t="s">
        <v>68</v>
      </c>
      <c r="E48" s="839">
        <v>34075627</v>
      </c>
      <c r="G48" s="839">
        <v>38781415</v>
      </c>
      <c r="H48"/>
      <c r="I48" s="216">
        <f>IF(G48="",0,(E48+G48)/2)</f>
        <v>36428521</v>
      </c>
      <c r="J48" s="26"/>
      <c r="K48" s="27"/>
      <c r="L48" s="27"/>
      <c r="M48" s="27"/>
      <c r="N48" s="27"/>
      <c r="O48" s="27"/>
    </row>
    <row r="49" spans="1:15" ht="12.75">
      <c r="A49" s="88">
        <f>+A48+1</f>
        <v>24</v>
      </c>
      <c r="C49" s="56" t="s">
        <v>390</v>
      </c>
      <c r="D49" s="137" t="str">
        <f>"Ln "&amp;A47&amp;" - ln "&amp;A48&amp;""</f>
        <v>Ln 22 - ln 23</v>
      </c>
      <c r="E49" s="27">
        <f>+E47-E48</f>
        <v>0</v>
      </c>
      <c r="G49" s="27">
        <f>+G47-G48</f>
        <v>0</v>
      </c>
      <c r="H49"/>
      <c r="I49" s="132">
        <f>+I47-I48</f>
        <v>0</v>
      </c>
      <c r="J49" s="26"/>
      <c r="K49" s="27"/>
      <c r="L49" s="27"/>
      <c r="M49" s="27"/>
      <c r="N49" s="27"/>
      <c r="O49" s="27"/>
    </row>
    <row r="50" spans="1:15" ht="12.75">
      <c r="A50" s="88">
        <f>+A49+1</f>
        <v>25</v>
      </c>
      <c r="C50" s="56" t="s">
        <v>518</v>
      </c>
      <c r="D50" s="296" t="str">
        <f>"WS B-1 - Actual Stmt. AF Ln. "&amp;'I&amp;M WS B-1 - Actual Stmt. AF'!A236&amp;" (Note 1)"</f>
        <v>WS B-1 - Actual Stmt. AF Ln. 20 (Note 1)</v>
      </c>
      <c r="E50" s="838">
        <f>'I&amp;M WS B-1 - Actual Stmt. AF'!W236</f>
        <v>0</v>
      </c>
      <c r="G50" s="838">
        <f>'I&amp;M WS B-1 - Actual Stmt. AF'!Q236</f>
        <v>0</v>
      </c>
      <c r="H50"/>
      <c r="I50" s="132">
        <f>IF(G50="",0,(E50+G50)/2)</f>
        <v>0</v>
      </c>
      <c r="J50" s="26"/>
      <c r="K50" s="27"/>
      <c r="L50" s="27"/>
      <c r="M50" s="27"/>
      <c r="N50" s="27"/>
      <c r="O50" s="27"/>
    </row>
    <row r="51" spans="1:15" ht="12.75">
      <c r="A51" s="88"/>
      <c r="C51" s="56"/>
      <c r="D51" s="56"/>
      <c r="J51" s="26"/>
      <c r="K51" s="27"/>
      <c r="L51" s="27"/>
      <c r="M51" s="27"/>
      <c r="N51" s="27"/>
      <c r="O51" s="27"/>
    </row>
    <row r="52" spans="1:11" ht="12.75">
      <c r="A52" s="77" t="s">
        <v>69</v>
      </c>
      <c r="C52" s="1489" t="s">
        <v>763</v>
      </c>
      <c r="D52" s="1489"/>
      <c r="E52" s="1489"/>
      <c r="F52" s="1489"/>
      <c r="G52" s="1489"/>
      <c r="H52" s="1489"/>
      <c r="I52" s="1489"/>
      <c r="J52" s="26"/>
      <c r="K52" s="26"/>
    </row>
    <row r="53" spans="1:11" ht="12.75">
      <c r="A53" s="77"/>
      <c r="C53" s="1489"/>
      <c r="D53" s="1489"/>
      <c r="E53" s="1489"/>
      <c r="F53" s="1489"/>
      <c r="G53" s="1489"/>
      <c r="H53" s="1489"/>
      <c r="I53" s="1489"/>
      <c r="J53" s="26"/>
      <c r="K53" s="26"/>
    </row>
    <row r="54" spans="1:4" ht="12.75">
      <c r="A54" s="88"/>
      <c r="C54" s="56"/>
      <c r="D54" s="56"/>
    </row>
    <row r="55" spans="1:4" ht="12.75">
      <c r="A55" s="88" t="s">
        <v>70</v>
      </c>
      <c r="B55" s="36" t="s">
        <v>71</v>
      </c>
      <c r="C55" s="56"/>
      <c r="D55" s="56"/>
    </row>
    <row r="56" spans="2:11" ht="12.75">
      <c r="B56" s="6"/>
      <c r="C56" s="6"/>
      <c r="D56" s="6"/>
      <c r="E56" s="6"/>
      <c r="F56" s="6"/>
      <c r="G56" s="6"/>
      <c r="H56" s="6"/>
      <c r="I56" s="6"/>
      <c r="J56" s="6"/>
      <c r="K56" s="6"/>
    </row>
    <row r="57" spans="2:11" ht="12.75">
      <c r="B57" s="6"/>
      <c r="C57" s="6"/>
      <c r="D57" s="6"/>
      <c r="E57" s="6"/>
      <c r="F57" s="6"/>
      <c r="G57" s="6"/>
      <c r="H57" s="6"/>
      <c r="I57" s="6"/>
      <c r="J57" s="6"/>
      <c r="K57" s="6"/>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4.25" customHeight="1">
      <c r="B188" s="6"/>
      <c r="C188" s="6"/>
      <c r="D188" s="6"/>
      <c r="E188" s="6"/>
      <c r="F188" s="6"/>
      <c r="G188" s="6"/>
      <c r="H188" s="6"/>
      <c r="I188" s="6"/>
      <c r="J188" s="6"/>
      <c r="K188" s="6"/>
      <c r="L188" s="6"/>
    </row>
    <row r="189" spans="2:12" ht="12.75" customHeight="1">
      <c r="B189" s="6"/>
      <c r="C189" s="6"/>
      <c r="D189" s="6"/>
      <c r="E189" s="6"/>
      <c r="F189" s="6"/>
      <c r="G189" s="6"/>
      <c r="H189" s="6"/>
      <c r="I189" s="6"/>
      <c r="J189" s="6"/>
      <c r="K189" s="6"/>
      <c r="L189" s="6"/>
    </row>
    <row r="190" spans="2:12" ht="12.7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 r="B204" s="6"/>
      <c r="C204" s="6"/>
      <c r="D204" s="6"/>
      <c r="E204" s="6"/>
      <c r="F204" s="6"/>
      <c r="G204" s="6"/>
      <c r="H204" s="6"/>
      <c r="I204" s="6"/>
      <c r="J204" s="6"/>
      <c r="K204" s="6"/>
      <c r="L204" s="6"/>
    </row>
    <row r="205" spans="2:12" ht="12.75">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sheetData>
  <sheetProtection/>
  <mergeCells count="8">
    <mergeCell ref="C52:I53"/>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0"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Z236"/>
  <sheetViews>
    <sheetView zoomScale="50" zoomScaleNormal="50" zoomScalePageLayoutView="0" workbookViewId="0" topLeftCell="I1">
      <selection activeCell="AC115" sqref="AC115"/>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9" max="9" width="13.140625" style="0" bestFit="1" customWidth="1"/>
    <col min="10" max="10" width="13.140625" style="0" customWidth="1"/>
    <col min="11" max="11" width="15.00390625" style="0" bestFit="1" customWidth="1"/>
    <col min="12" max="12" width="16.421875" style="0" customWidth="1"/>
    <col min="13" max="13" width="13.57421875" style="0" customWidth="1"/>
    <col min="15" max="15" width="13.140625" style="0" bestFit="1" customWidth="1"/>
    <col min="16" max="16" width="13.140625" style="0" customWidth="1"/>
    <col min="17" max="17" width="15.00390625" style="0" bestFit="1" customWidth="1"/>
    <col min="18" max="18" width="13.57421875" style="0" bestFit="1" customWidth="1"/>
    <col min="19" max="19" width="13.57421875" style="0" customWidth="1"/>
    <col min="21" max="21" width="13.140625" style="0" bestFit="1" customWidth="1"/>
    <col min="22" max="22" width="15.7109375" style="0" customWidth="1"/>
    <col min="23" max="23" width="16.7109375" style="0" customWidth="1"/>
    <col min="24" max="24" width="15.57421875" style="0" customWidth="1"/>
    <col min="25" max="25" width="12.421875" style="0" customWidth="1"/>
  </cols>
  <sheetData>
    <row r="1" spans="1:24" ht="12.75">
      <c r="A1" s="1051"/>
      <c r="B1" s="1117" t="str">
        <f>'I&amp;M TCOS'!F7</f>
        <v>INDIANA MICHIGAN POWER COMPANY</v>
      </c>
      <c r="C1" s="1031"/>
      <c r="D1" s="1031"/>
      <c r="E1" s="1031"/>
      <c r="F1" s="1031"/>
      <c r="G1" s="1032"/>
      <c r="H1" s="1032"/>
      <c r="I1" s="1032"/>
      <c r="J1" s="1032"/>
      <c r="K1" s="1032"/>
      <c r="L1" s="1032"/>
      <c r="M1" s="1032"/>
      <c r="N1" s="1032"/>
      <c r="O1" s="1031"/>
      <c r="P1" s="1031"/>
      <c r="Q1" s="1031"/>
      <c r="R1" s="1031"/>
      <c r="S1" s="1031"/>
      <c r="T1" s="1031"/>
      <c r="U1" s="1031"/>
      <c r="V1" s="1031"/>
      <c r="W1" s="1031"/>
      <c r="X1" s="1032"/>
    </row>
    <row r="2" spans="1:24" ht="12.75">
      <c r="A2" s="1051"/>
      <c r="B2" s="1030" t="s">
        <v>765</v>
      </c>
      <c r="C2" s="1031"/>
      <c r="D2" s="1031"/>
      <c r="E2" s="1031"/>
      <c r="F2" s="1031"/>
      <c r="G2" s="1032"/>
      <c r="H2" s="1032"/>
      <c r="I2" s="1032"/>
      <c r="J2" s="1032"/>
      <c r="K2" s="1032"/>
      <c r="L2" s="1032"/>
      <c r="M2" s="1032"/>
      <c r="N2" s="1032"/>
      <c r="O2" s="1031"/>
      <c r="P2" s="1031"/>
      <c r="Q2" s="1031"/>
      <c r="R2" s="1031"/>
      <c r="S2" s="1031"/>
      <c r="T2" s="1031"/>
      <c r="U2" s="1031"/>
      <c r="V2" s="1031"/>
      <c r="W2" s="1031"/>
      <c r="X2" s="1032"/>
    </row>
    <row r="3" spans="1:24" ht="12.75">
      <c r="A3" s="1051"/>
      <c r="B3" s="1073" t="str">
        <f>"PERIOD ENDED DECEMBER 31, "&amp;'I&amp;M TCOS'!L2</f>
        <v>PERIOD ENDED DECEMBER 31, 2017</v>
      </c>
      <c r="C3" s="1031"/>
      <c r="D3" s="1031"/>
      <c r="E3" s="1031"/>
      <c r="F3" s="1031"/>
      <c r="G3" s="1031"/>
      <c r="H3" s="1031"/>
      <c r="I3" s="1031"/>
      <c r="J3" s="1031"/>
      <c r="K3" s="1031"/>
      <c r="L3" s="1031"/>
      <c r="M3" s="1031"/>
      <c r="N3" s="1031"/>
      <c r="O3" s="1031"/>
      <c r="P3" s="1031"/>
      <c r="Q3" s="1031"/>
      <c r="R3" s="1031"/>
      <c r="S3" s="1031"/>
      <c r="T3" s="1031"/>
      <c r="U3" s="1031"/>
      <c r="V3" s="1031"/>
      <c r="W3" s="1031"/>
      <c r="X3" s="1031"/>
    </row>
    <row r="4" spans="1:24" ht="12.75">
      <c r="A4" s="1051"/>
      <c r="B4" s="1031"/>
      <c r="C4" s="1031"/>
      <c r="D4" s="1031"/>
      <c r="E4" s="1031"/>
      <c r="F4" s="1031"/>
      <c r="G4" s="956" t="s">
        <v>688</v>
      </c>
      <c r="H4" s="956"/>
      <c r="I4" s="956"/>
      <c r="J4" s="956"/>
      <c r="K4" s="956"/>
      <c r="L4" s="956"/>
      <c r="M4" s="956"/>
      <c r="N4" s="956"/>
      <c r="O4" s="1031"/>
      <c r="P4" s="1031"/>
      <c r="Q4" s="1031"/>
      <c r="R4" s="1031"/>
      <c r="S4" s="1031"/>
      <c r="T4" s="1031"/>
      <c r="U4" s="1031"/>
      <c r="V4" s="1031"/>
      <c r="W4" s="1031"/>
      <c r="X4" s="1031"/>
    </row>
    <row r="5" spans="1:24" ht="12.75">
      <c r="A5" s="1051"/>
      <c r="B5" s="1033"/>
      <c r="C5" s="1031"/>
      <c r="D5" s="1031"/>
      <c r="E5" s="1031"/>
      <c r="F5" s="1031"/>
      <c r="G5" s="1031"/>
      <c r="H5" s="1031"/>
      <c r="I5" s="1031"/>
      <c r="J5" s="1031"/>
      <c r="K5" s="1031"/>
      <c r="L5" s="1031"/>
      <c r="M5" s="1031"/>
      <c r="N5" s="1031"/>
      <c r="O5" s="1031"/>
      <c r="P5" s="1031"/>
      <c r="Q5" s="1031"/>
      <c r="R5" s="1031"/>
      <c r="S5" s="1031"/>
      <c r="T5" s="1031"/>
      <c r="U5" s="1031"/>
      <c r="V5" s="1031"/>
      <c r="W5" s="1031"/>
      <c r="X5" s="1031"/>
    </row>
    <row r="6" spans="1:24" ht="12.75">
      <c r="A6" s="1051"/>
      <c r="B6" s="1031"/>
      <c r="C6" s="1031"/>
      <c r="D6" s="1031"/>
      <c r="E6" s="1031"/>
      <c r="F6" s="1031"/>
      <c r="G6" s="1031"/>
      <c r="H6" s="1031"/>
      <c r="I6" s="1031"/>
      <c r="J6" s="1031"/>
      <c r="K6" s="1031"/>
      <c r="L6" s="1031"/>
      <c r="M6" s="1031"/>
      <c r="N6" s="1031"/>
      <c r="O6" s="1031"/>
      <c r="P6" s="1031"/>
      <c r="Q6" s="1031"/>
      <c r="R6" s="1031"/>
      <c r="S6" s="1031"/>
      <c r="T6" s="1031"/>
      <c r="U6" s="1031"/>
      <c r="V6" s="1031"/>
      <c r="W6" s="1031"/>
      <c r="X6" s="1031"/>
    </row>
    <row r="7" spans="1:24" ht="12.75">
      <c r="A7" s="1051"/>
      <c r="B7" s="1031"/>
      <c r="C7" s="1031"/>
      <c r="D7" s="1031"/>
      <c r="E7" s="1031"/>
      <c r="F7" s="1031"/>
      <c r="G7" s="1031"/>
      <c r="H7" s="1031"/>
      <c r="I7" s="1031"/>
      <c r="J7" s="1031"/>
      <c r="K7" s="1031"/>
      <c r="L7" s="1031"/>
      <c r="M7" s="1031"/>
      <c r="N7" s="1031"/>
      <c r="O7" s="1031"/>
      <c r="P7" s="1031"/>
      <c r="Q7" s="1031"/>
      <c r="R7" s="1031"/>
      <c r="S7" s="1031"/>
      <c r="T7" s="1031"/>
      <c r="U7" s="1031"/>
      <c r="V7" s="1031"/>
      <c r="W7" s="1031"/>
      <c r="X7" s="1031"/>
    </row>
    <row r="8" spans="1:24" ht="12.75">
      <c r="A8" s="1051"/>
      <c r="B8" s="1034" t="s">
        <v>689</v>
      </c>
      <c r="C8" s="1034" t="s">
        <v>690</v>
      </c>
      <c r="D8" s="1034" t="s">
        <v>691</v>
      </c>
      <c r="E8" s="1034" t="s">
        <v>692</v>
      </c>
      <c r="F8" s="1034" t="s">
        <v>693</v>
      </c>
      <c r="G8" s="1034" t="s">
        <v>694</v>
      </c>
      <c r="H8" s="1034"/>
      <c r="I8" s="1034" t="s">
        <v>695</v>
      </c>
      <c r="J8" s="1034"/>
      <c r="K8" s="1034" t="s">
        <v>696</v>
      </c>
      <c r="L8" s="1034" t="s">
        <v>697</v>
      </c>
      <c r="M8" s="1034"/>
      <c r="N8" s="1034"/>
      <c r="O8" s="1034" t="s">
        <v>698</v>
      </c>
      <c r="P8" s="1034"/>
      <c r="Q8" s="1034" t="s">
        <v>699</v>
      </c>
      <c r="R8" s="1034" t="s">
        <v>700</v>
      </c>
      <c r="S8" s="1034"/>
      <c r="T8" s="1031"/>
      <c r="U8" s="1034" t="s">
        <v>701</v>
      </c>
      <c r="V8" s="1034"/>
      <c r="W8" s="1034" t="s">
        <v>702</v>
      </c>
      <c r="X8" s="1034" t="s">
        <v>703</v>
      </c>
    </row>
    <row r="9" spans="1:24" ht="12.75">
      <c r="A9" s="1051"/>
      <c r="B9" s="1031"/>
      <c r="C9" s="1031"/>
      <c r="D9" s="1031"/>
      <c r="E9" s="1031"/>
      <c r="F9" s="1031"/>
      <c r="G9" s="1031"/>
      <c r="H9" s="1031"/>
      <c r="I9" s="1031"/>
      <c r="J9" s="1031"/>
      <c r="K9" s="1031"/>
      <c r="L9" s="1031"/>
      <c r="M9" s="1031"/>
      <c r="N9" s="1031"/>
      <c r="O9" s="1031"/>
      <c r="P9" s="1031"/>
      <c r="Q9" s="1031"/>
      <c r="R9" s="1031"/>
      <c r="S9" s="1031"/>
      <c r="T9" s="1031"/>
      <c r="U9" s="1031"/>
      <c r="V9" s="1031"/>
      <c r="W9" s="1031"/>
      <c r="X9" s="1031"/>
    </row>
    <row r="10" spans="1:24" ht="12.75">
      <c r="A10" s="1051"/>
      <c r="B10" s="1031"/>
      <c r="C10" s="1035" t="s">
        <v>704</v>
      </c>
      <c r="D10" s="1035"/>
      <c r="E10" s="1036" t="s">
        <v>705</v>
      </c>
      <c r="F10" s="1035"/>
      <c r="G10" s="22" t="s">
        <v>706</v>
      </c>
      <c r="H10" s="22"/>
      <c r="I10" s="1037" t="s">
        <v>707</v>
      </c>
      <c r="J10" s="1037"/>
      <c r="K10" s="1035"/>
      <c r="L10" s="1035"/>
      <c r="M10" s="1035"/>
      <c r="N10" s="22"/>
      <c r="O10" s="1037" t="str">
        <f>"FUNCTIONALIZATION 12/31/"&amp;'I&amp;M TCOS'!L2-1</f>
        <v>FUNCTIONALIZATION 12/31/2016</v>
      </c>
      <c r="P10" s="1037"/>
      <c r="Q10" s="1035"/>
      <c r="R10" s="1035"/>
      <c r="S10" s="1035"/>
      <c r="T10" s="1031"/>
      <c r="U10" s="1037" t="str">
        <f>"FUNCTIONALIZATION 12/31/"&amp;'I&amp;M TCOS'!L2</f>
        <v>FUNCTIONALIZATION 12/31/2017</v>
      </c>
      <c r="V10" s="1037"/>
      <c r="W10" s="1035"/>
      <c r="X10" s="1035"/>
    </row>
    <row r="11" spans="1:24" ht="12.75">
      <c r="A11" s="1051"/>
      <c r="B11" s="1031"/>
      <c r="C11" s="1039"/>
      <c r="D11" s="1039"/>
      <c r="E11" s="1031"/>
      <c r="F11" s="1031"/>
      <c r="G11" s="22" t="s">
        <v>708</v>
      </c>
      <c r="H11" s="22"/>
      <c r="I11" s="1039"/>
      <c r="J11" s="1039"/>
      <c r="K11" s="1039"/>
      <c r="L11" s="1039"/>
      <c r="M11" s="1446"/>
      <c r="N11" s="22"/>
      <c r="O11" s="1039"/>
      <c r="P11" s="1039"/>
      <c r="Q11" s="1039"/>
      <c r="R11" s="1039"/>
      <c r="S11" s="1446"/>
      <c r="T11" s="1031"/>
      <c r="U11" s="1039"/>
      <c r="V11" s="1039"/>
      <c r="W11" s="1039"/>
      <c r="X11" s="1039"/>
    </row>
    <row r="12" spans="1:24" s="21" customFormat="1" ht="12.75">
      <c r="A12" s="1051"/>
      <c r="B12" s="1031"/>
      <c r="C12" s="22" t="s">
        <v>709</v>
      </c>
      <c r="D12" s="22" t="s">
        <v>709</v>
      </c>
      <c r="E12" s="22" t="s">
        <v>709</v>
      </c>
      <c r="F12" s="22" t="s">
        <v>709</v>
      </c>
      <c r="G12" s="22" t="s">
        <v>710</v>
      </c>
      <c r="H12" s="22"/>
      <c r="I12" s="1031"/>
      <c r="J12" s="1031"/>
      <c r="K12" s="1031"/>
      <c r="L12" s="1031"/>
      <c r="M12" s="1031"/>
      <c r="N12" s="22"/>
      <c r="O12" s="1031"/>
      <c r="P12" s="1031"/>
      <c r="Q12" s="1031"/>
      <c r="R12" s="1031"/>
      <c r="S12" s="1031"/>
      <c r="T12" s="1031"/>
      <c r="U12" s="1031"/>
      <c r="V12" s="1031"/>
      <c r="W12" s="1031"/>
      <c r="X12" s="1031"/>
    </row>
    <row r="13" spans="1:25" s="21" customFormat="1" ht="12.75">
      <c r="A13" s="1051"/>
      <c r="B13" s="1034" t="s">
        <v>711</v>
      </c>
      <c r="C13" s="1034" t="str">
        <f>"OF 12-31-"&amp;'I&amp;M TCOS'!L2-1</f>
        <v>OF 12-31-2016</v>
      </c>
      <c r="D13" s="1034" t="str">
        <f>"OF 12-31-"&amp;'I&amp;M TCOS'!L2</f>
        <v>OF 12-31-2017</v>
      </c>
      <c r="E13" s="1034" t="str">
        <f>"OF 12-31-"&amp;'I&amp;M TCOS'!L2-1</f>
        <v>OF 12-31-2016</v>
      </c>
      <c r="F13" s="1034" t="str">
        <f>"OF 12-31-"&amp;'I&amp;M TCOS'!L2</f>
        <v>OF 12-31-2017</v>
      </c>
      <c r="G13" s="1034" t="s">
        <v>712</v>
      </c>
      <c r="H13" s="1034"/>
      <c r="I13" s="1034" t="s">
        <v>713</v>
      </c>
      <c r="J13" s="1056" t="s">
        <v>1098</v>
      </c>
      <c r="K13" s="1034" t="s">
        <v>714</v>
      </c>
      <c r="L13" s="1034" t="s">
        <v>715</v>
      </c>
      <c r="M13" s="1056" t="s">
        <v>1099</v>
      </c>
      <c r="N13" s="1034"/>
      <c r="O13" s="1034" t="s">
        <v>713</v>
      </c>
      <c r="P13" s="1056" t="s">
        <v>1098</v>
      </c>
      <c r="Q13" s="1034" t="s">
        <v>714</v>
      </c>
      <c r="R13" s="1034" t="s">
        <v>715</v>
      </c>
      <c r="S13" s="1056" t="s">
        <v>1099</v>
      </c>
      <c r="T13" s="1031"/>
      <c r="U13" s="1034" t="s">
        <v>713</v>
      </c>
      <c r="V13" s="1056" t="s">
        <v>1098</v>
      </c>
      <c r="W13" s="1034" t="s">
        <v>714</v>
      </c>
      <c r="X13" s="1034" t="s">
        <v>715</v>
      </c>
      <c r="Y13" s="1056" t="s">
        <v>1099</v>
      </c>
    </row>
    <row r="14" spans="1:24" ht="12.75">
      <c r="A14" s="105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row>
    <row r="15" spans="1:24" ht="12.75">
      <c r="A15" s="1072">
        <v>1</v>
      </c>
      <c r="B15" s="838" t="s">
        <v>716</v>
      </c>
      <c r="C15" s="1041"/>
      <c r="D15" s="1041"/>
      <c r="E15" s="1041"/>
      <c r="F15" s="1042"/>
      <c r="G15" s="1041"/>
      <c r="H15" s="1041"/>
      <c r="I15" s="1041"/>
      <c r="J15" s="1041"/>
      <c r="K15" s="1041"/>
      <c r="L15" s="1041"/>
      <c r="M15" s="1041"/>
      <c r="N15" s="1041"/>
      <c r="O15" s="1041"/>
      <c r="P15" s="1041"/>
      <c r="Q15" s="1041"/>
      <c r="R15" s="1041"/>
      <c r="S15" s="1041"/>
      <c r="T15" s="1041"/>
      <c r="U15" s="1041"/>
      <c r="V15" s="1041"/>
      <c r="W15" s="1041"/>
      <c r="X15" s="1041"/>
    </row>
    <row r="16" spans="1:26" ht="12.75">
      <c r="A16" s="1072">
        <v>2.01</v>
      </c>
      <c r="B16" s="838" t="s">
        <v>1106</v>
      </c>
      <c r="C16" s="1041">
        <v>13008872</v>
      </c>
      <c r="D16" s="1041">
        <v>29431106</v>
      </c>
      <c r="E16" s="1041"/>
      <c r="F16" s="1041"/>
      <c r="G16" s="1041">
        <f>ROUND(SUM(C16:F16)/2,0)</f>
        <v>21219989</v>
      </c>
      <c r="H16" s="1041"/>
      <c r="I16" s="1041">
        <f>(O16+U16)/2</f>
        <v>21219989</v>
      </c>
      <c r="J16" s="1041">
        <f>(P16+V16)/2</f>
        <v>0</v>
      </c>
      <c r="K16" s="1041">
        <f>(Q16+W16)/2</f>
        <v>0</v>
      </c>
      <c r="L16" s="1041">
        <f>(R16+X16)/2</f>
        <v>0</v>
      </c>
      <c r="M16" s="1041">
        <f>(S16+Y16)/2</f>
        <v>0</v>
      </c>
      <c r="N16" s="1041"/>
      <c r="O16" s="1043">
        <v>13008872</v>
      </c>
      <c r="P16" s="1043">
        <v>0</v>
      </c>
      <c r="Q16" s="1043">
        <v>0</v>
      </c>
      <c r="R16" s="1043">
        <v>0</v>
      </c>
      <c r="S16" s="1043">
        <v>0</v>
      </c>
      <c r="T16" s="1041"/>
      <c r="U16" s="1043">
        <v>29431106</v>
      </c>
      <c r="V16" s="1043">
        <v>0</v>
      </c>
      <c r="W16" s="1043">
        <v>0</v>
      </c>
      <c r="X16" s="1043">
        <v>0</v>
      </c>
      <c r="Y16" s="1043">
        <v>0</v>
      </c>
      <c r="Z16" s="1041"/>
    </row>
    <row r="17" spans="1:26" ht="12.75">
      <c r="A17" s="1072">
        <v>2.02</v>
      </c>
      <c r="B17" s="838"/>
      <c r="C17" s="1041"/>
      <c r="D17" s="1041"/>
      <c r="E17" s="1041"/>
      <c r="F17" s="1041"/>
      <c r="G17" s="1041" t="s">
        <v>116</v>
      </c>
      <c r="H17" s="1041"/>
      <c r="I17" s="1041"/>
      <c r="J17" s="1041"/>
      <c r="K17" s="1041"/>
      <c r="L17" s="1041"/>
      <c r="M17" s="1041"/>
      <c r="N17" s="1041"/>
      <c r="O17" s="1041"/>
      <c r="P17" s="1041"/>
      <c r="Q17" s="1041"/>
      <c r="R17" s="1041"/>
      <c r="S17" s="1041"/>
      <c r="T17" s="1041"/>
      <c r="U17" s="1041"/>
      <c r="V17" s="1041"/>
      <c r="W17" s="1041"/>
      <c r="X17" s="1041"/>
      <c r="Y17" s="1041"/>
      <c r="Z17" s="1041"/>
    </row>
    <row r="18" spans="1:26" ht="12.75">
      <c r="A18" s="1072">
        <v>2.03</v>
      </c>
      <c r="B18" s="838" t="s">
        <v>1089</v>
      </c>
      <c r="C18" s="1041">
        <v>0</v>
      </c>
      <c r="D18" s="1041">
        <v>0</v>
      </c>
      <c r="E18" s="1041">
        <v>0</v>
      </c>
      <c r="F18" s="1041">
        <v>0</v>
      </c>
      <c r="G18" s="1041">
        <f>ROUND(SUM(C18:F18)/2,0)</f>
        <v>0</v>
      </c>
      <c r="H18" s="1041"/>
      <c r="I18" s="1041">
        <f aca="true" t="shared" si="0" ref="I18:M21">(O18+U18)/2</f>
        <v>0</v>
      </c>
      <c r="J18" s="1041">
        <f t="shared" si="0"/>
        <v>0</v>
      </c>
      <c r="K18" s="1041">
        <f t="shared" si="0"/>
        <v>0</v>
      </c>
      <c r="L18" s="1041">
        <f t="shared" si="0"/>
        <v>0</v>
      </c>
      <c r="M18" s="1041">
        <f t="shared" si="0"/>
        <v>0</v>
      </c>
      <c r="N18" s="1041"/>
      <c r="O18" s="1041"/>
      <c r="P18" s="1041"/>
      <c r="Q18" s="1041"/>
      <c r="R18" s="1041"/>
      <c r="S18" s="1041"/>
      <c r="T18" s="1041"/>
      <c r="U18" s="1041"/>
      <c r="V18" s="1041"/>
      <c r="W18" s="1041"/>
      <c r="X18" s="1041"/>
      <c r="Y18" s="1041"/>
      <c r="Z18" s="1041"/>
    </row>
    <row r="19" spans="1:26" ht="12.75">
      <c r="A19" s="1072">
        <v>2.04</v>
      </c>
      <c r="B19" s="838" t="s">
        <v>1107</v>
      </c>
      <c r="C19" s="1041">
        <v>0</v>
      </c>
      <c r="D19" s="1041">
        <v>0</v>
      </c>
      <c r="E19" s="1041">
        <v>0</v>
      </c>
      <c r="F19" s="1041">
        <v>0</v>
      </c>
      <c r="G19" s="1041">
        <f>ROUND(SUM(C19:F19)/2,0)</f>
        <v>0</v>
      </c>
      <c r="H19" s="1041"/>
      <c r="I19" s="1041">
        <f t="shared" si="0"/>
        <v>0</v>
      </c>
      <c r="J19" s="1041">
        <f t="shared" si="0"/>
        <v>0</v>
      </c>
      <c r="K19" s="1041">
        <f t="shared" si="0"/>
        <v>0</v>
      </c>
      <c r="L19" s="1041">
        <f t="shared" si="0"/>
        <v>0</v>
      </c>
      <c r="M19" s="1041">
        <f t="shared" si="0"/>
        <v>0</v>
      </c>
      <c r="N19" s="1041"/>
      <c r="O19" s="1041"/>
      <c r="P19" s="1041"/>
      <c r="Q19" s="1041"/>
      <c r="R19" s="1041"/>
      <c r="S19" s="1041"/>
      <c r="T19" s="1041"/>
      <c r="U19" s="1041"/>
      <c r="V19" s="1041"/>
      <c r="W19" s="1041"/>
      <c r="X19" s="1041"/>
      <c r="Y19" s="1041"/>
      <c r="Z19" s="1041"/>
    </row>
    <row r="20" spans="1:26" ht="12.75">
      <c r="A20" s="1072">
        <v>2.05</v>
      </c>
      <c r="B20" s="838" t="s">
        <v>1108</v>
      </c>
      <c r="C20" s="1041">
        <v>0</v>
      </c>
      <c r="D20" s="1041">
        <v>-11772442</v>
      </c>
      <c r="E20" s="1041">
        <v>0</v>
      </c>
      <c r="F20" s="1041">
        <v>11772442</v>
      </c>
      <c r="G20" s="1041">
        <f>ROUND(SUM(C20:F20)/2,0)</f>
        <v>0</v>
      </c>
      <c r="H20" s="1041"/>
      <c r="I20" s="1041">
        <f t="shared" si="0"/>
        <v>0</v>
      </c>
      <c r="J20" s="1041">
        <f t="shared" si="0"/>
        <v>0</v>
      </c>
      <c r="K20" s="1041">
        <f t="shared" si="0"/>
        <v>0</v>
      </c>
      <c r="L20" s="1041">
        <f t="shared" si="0"/>
        <v>0</v>
      </c>
      <c r="M20" s="1041">
        <f t="shared" si="0"/>
        <v>0</v>
      </c>
      <c r="N20" s="1041"/>
      <c r="O20" s="1041"/>
      <c r="P20" s="1041"/>
      <c r="Q20" s="1041"/>
      <c r="R20" s="1041"/>
      <c r="S20" s="1041"/>
      <c r="T20" s="1041"/>
      <c r="U20" s="1041"/>
      <c r="V20" s="1041"/>
      <c r="W20" s="1041"/>
      <c r="X20" s="1041"/>
      <c r="Y20" s="1041"/>
      <c r="Z20" s="1041"/>
    </row>
    <row r="21" spans="1:24" ht="12.75">
      <c r="A21" s="1072">
        <v>2.06</v>
      </c>
      <c r="B21" s="838"/>
      <c r="C21" s="1041">
        <v>0</v>
      </c>
      <c r="D21" s="1041">
        <v>0</v>
      </c>
      <c r="E21" s="1041">
        <f>-C21</f>
        <v>0</v>
      </c>
      <c r="F21" s="1041">
        <f>-D21</f>
        <v>0</v>
      </c>
      <c r="G21" s="1041">
        <f>ROUND(SUM(C21:F21)/2,0)</f>
        <v>0</v>
      </c>
      <c r="H21" s="1041"/>
      <c r="I21" s="1041">
        <f t="shared" si="0"/>
        <v>0</v>
      </c>
      <c r="J21" s="1041">
        <f t="shared" si="0"/>
        <v>0</v>
      </c>
      <c r="K21" s="1041">
        <f t="shared" si="0"/>
        <v>0</v>
      </c>
      <c r="L21" s="1041">
        <f t="shared" si="0"/>
        <v>0</v>
      </c>
      <c r="M21" s="1041">
        <f t="shared" si="0"/>
        <v>0</v>
      </c>
      <c r="N21" s="1041"/>
      <c r="O21" s="1041"/>
      <c r="P21" s="1041"/>
      <c r="Q21" s="1041"/>
      <c r="R21" s="1041"/>
      <c r="S21" s="1041"/>
      <c r="T21" s="1041"/>
      <c r="U21" s="1041"/>
      <c r="V21" s="1041"/>
      <c r="W21" s="1041"/>
      <c r="X21" s="1041"/>
    </row>
    <row r="22" spans="1:24" ht="12.75">
      <c r="A22" s="1068"/>
      <c r="B22" s="1031"/>
      <c r="C22" s="1041"/>
      <c r="D22" s="1041"/>
      <c r="E22" s="1041"/>
      <c r="F22" s="1041"/>
      <c r="G22" s="1041"/>
      <c r="H22" s="1041"/>
      <c r="I22" s="1041"/>
      <c r="J22" s="1041"/>
      <c r="K22" s="1041"/>
      <c r="L22" s="1041"/>
      <c r="M22" s="1041"/>
      <c r="N22" s="1041"/>
      <c r="O22" s="1041"/>
      <c r="P22" s="1041"/>
      <c r="Q22" s="1041"/>
      <c r="R22" s="1041"/>
      <c r="S22" s="1041"/>
      <c r="T22" s="1041"/>
      <c r="U22" s="1041"/>
      <c r="V22" s="1041"/>
      <c r="W22" s="1041"/>
      <c r="X22" s="1041"/>
    </row>
    <row r="23" spans="1:25" ht="13.5" thickBot="1">
      <c r="A23" s="1052">
        <v>3</v>
      </c>
      <c r="B23" s="256" t="s">
        <v>717</v>
      </c>
      <c r="C23" s="1044">
        <f>SUM(C16:C22)</f>
        <v>13008872</v>
      </c>
      <c r="D23" s="1044">
        <f>SUM(D16:D22)</f>
        <v>17658664</v>
      </c>
      <c r="E23" s="1044">
        <f>SUM(E16:E22)</f>
        <v>0</v>
      </c>
      <c r="F23" s="1044">
        <f>SUM(F16:F22)</f>
        <v>11772442</v>
      </c>
      <c r="G23" s="1044">
        <f>SUM(G16:G22)</f>
        <v>21219989</v>
      </c>
      <c r="H23" s="1041"/>
      <c r="I23" s="1044">
        <f>SUM(I16:I22)</f>
        <v>21219989</v>
      </c>
      <c r="J23" s="1044">
        <f>SUM(J16:J22)</f>
        <v>0</v>
      </c>
      <c r="K23" s="1044">
        <f>SUM(K16:K22)</f>
        <v>0</v>
      </c>
      <c r="L23" s="1044">
        <f>SUM(L16:L22)</f>
        <v>0</v>
      </c>
      <c r="M23" s="1044">
        <f>SUM(M16:M22)</f>
        <v>0</v>
      </c>
      <c r="N23" s="1041"/>
      <c r="O23" s="1044">
        <f>SUM(O16:O22)</f>
        <v>13008872</v>
      </c>
      <c r="P23" s="1044">
        <f>SUM(P16:P22)</f>
        <v>0</v>
      </c>
      <c r="Q23" s="1044">
        <f>SUM(Q16:Q22)</f>
        <v>0</v>
      </c>
      <c r="R23" s="1044">
        <f>SUM(R16:R22)</f>
        <v>0</v>
      </c>
      <c r="S23" s="1063">
        <f>SUM(S16:S22)</f>
        <v>0</v>
      </c>
      <c r="T23" s="1041"/>
      <c r="U23" s="1063">
        <f>SUM(U16:U22)</f>
        <v>29431106</v>
      </c>
      <c r="V23" s="1063">
        <f>SUM(V16:V22)</f>
        <v>0</v>
      </c>
      <c r="W23" s="1063">
        <f>SUM(W16:W22)</f>
        <v>0</v>
      </c>
      <c r="X23" s="1063">
        <f>SUM(X16:X22)</f>
        <v>0</v>
      </c>
      <c r="Y23" s="1063">
        <f>SUM(Y16:Y22)</f>
        <v>0</v>
      </c>
    </row>
    <row r="24" spans="1:24" ht="13.5" thickTop="1">
      <c r="A24" s="1052">
        <f>A23+1</f>
        <v>4</v>
      </c>
      <c r="B24" s="1118" t="s">
        <v>735</v>
      </c>
      <c r="C24" s="1065">
        <v>0</v>
      </c>
      <c r="D24" s="1065">
        <v>0</v>
      </c>
      <c r="E24" s="1065">
        <v>0</v>
      </c>
      <c r="F24" s="1065">
        <v>0</v>
      </c>
      <c r="G24" s="1065">
        <v>0</v>
      </c>
      <c r="H24" s="1066"/>
      <c r="I24" s="1065">
        <v>0</v>
      </c>
      <c r="J24" s="1065"/>
      <c r="K24" s="1065">
        <v>0</v>
      </c>
      <c r="L24" s="1065">
        <v>0</v>
      </c>
      <c r="M24" s="1065">
        <v>0</v>
      </c>
      <c r="N24" s="1066"/>
      <c r="O24" s="1065">
        <v>0</v>
      </c>
      <c r="P24" s="1065"/>
      <c r="Q24" s="1065">
        <v>0</v>
      </c>
      <c r="R24" s="1065">
        <v>0</v>
      </c>
      <c r="S24" s="1448"/>
      <c r="T24" s="1066"/>
      <c r="U24" s="1065">
        <v>0</v>
      </c>
      <c r="V24" s="1065"/>
      <c r="W24" s="1065">
        <v>0</v>
      </c>
      <c r="X24" s="1065">
        <v>0</v>
      </c>
    </row>
    <row r="25" spans="1:24" ht="12.75">
      <c r="A25" s="1052"/>
      <c r="B25" s="103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row>
    <row r="26" spans="1:24" ht="12.75">
      <c r="A26" s="1052">
        <v>5</v>
      </c>
      <c r="B26" s="1032" t="s">
        <v>718</v>
      </c>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row>
    <row r="27" spans="1:24" ht="12.75">
      <c r="A27" s="1069"/>
      <c r="B27" s="1031"/>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row>
    <row r="28" spans="1:25" ht="12.75">
      <c r="A28" s="1072">
        <v>5.01</v>
      </c>
      <c r="B28" s="838" t="s">
        <v>1109</v>
      </c>
      <c r="C28" s="1041">
        <v>741407</v>
      </c>
      <c r="D28" s="1041">
        <v>741407</v>
      </c>
      <c r="E28" s="1041"/>
      <c r="F28" s="1041"/>
      <c r="G28" s="1041">
        <f aca="true" t="shared" si="1" ref="G28:G50">ROUND(SUM(C28:F28)/2,0)</f>
        <v>741407</v>
      </c>
      <c r="H28" s="1041"/>
      <c r="I28" s="1041">
        <v>0</v>
      </c>
      <c r="J28" s="1041">
        <v>741407</v>
      </c>
      <c r="K28" s="1041">
        <v>0</v>
      </c>
      <c r="L28" s="1041">
        <v>0</v>
      </c>
      <c r="M28" s="1041">
        <v>0</v>
      </c>
      <c r="N28" s="1041"/>
      <c r="O28" s="838">
        <v>0</v>
      </c>
      <c r="P28" s="838">
        <v>741407</v>
      </c>
      <c r="Q28" s="838">
        <v>0</v>
      </c>
      <c r="R28" s="838">
        <v>0</v>
      </c>
      <c r="S28" s="838">
        <v>0</v>
      </c>
      <c r="T28" s="1041"/>
      <c r="U28" s="838">
        <v>0</v>
      </c>
      <c r="V28" s="838">
        <v>741407</v>
      </c>
      <c r="W28" s="838">
        <v>0</v>
      </c>
      <c r="X28" s="838">
        <v>0</v>
      </c>
      <c r="Y28">
        <v>0</v>
      </c>
    </row>
    <row r="29" spans="1:25" ht="12.75">
      <c r="A29" s="1072">
        <f>A28+0.01</f>
        <v>5.02</v>
      </c>
      <c r="B29" s="838" t="s">
        <v>1110</v>
      </c>
      <c r="C29" s="1041">
        <v>0</v>
      </c>
      <c r="D29" s="1041">
        <v>0</v>
      </c>
      <c r="E29" s="1041"/>
      <c r="F29" s="1041"/>
      <c r="G29" s="1041">
        <f t="shared" si="1"/>
        <v>0</v>
      </c>
      <c r="H29" s="1041"/>
      <c r="I29" s="1041">
        <v>0</v>
      </c>
      <c r="J29" s="1041">
        <v>0</v>
      </c>
      <c r="K29" s="1041">
        <v>0</v>
      </c>
      <c r="L29" s="1041">
        <v>0</v>
      </c>
      <c r="M29" s="1041">
        <v>0</v>
      </c>
      <c r="N29" s="1041"/>
      <c r="O29" s="838">
        <v>0</v>
      </c>
      <c r="P29" s="838">
        <v>0</v>
      </c>
      <c r="Q29" s="838">
        <v>0</v>
      </c>
      <c r="R29" s="838">
        <v>0</v>
      </c>
      <c r="S29" s="838">
        <v>0</v>
      </c>
      <c r="T29" s="1041"/>
      <c r="U29" s="838">
        <v>0</v>
      </c>
      <c r="V29" s="838">
        <v>0</v>
      </c>
      <c r="W29" s="838">
        <v>0</v>
      </c>
      <c r="X29" s="838">
        <v>0</v>
      </c>
      <c r="Y29">
        <v>0</v>
      </c>
    </row>
    <row r="30" spans="1:25" ht="12.75">
      <c r="A30" s="1072">
        <f aca="true" t="shared" si="2" ref="A30:A84">A29+0.01</f>
        <v>5.029999999999999</v>
      </c>
      <c r="B30" s="838" t="s">
        <v>1111</v>
      </c>
      <c r="C30" s="1041">
        <v>-1371542</v>
      </c>
      <c r="D30" s="1041">
        <v>-1371542</v>
      </c>
      <c r="E30" s="1041"/>
      <c r="F30" s="1041"/>
      <c r="G30" s="1041">
        <f t="shared" si="1"/>
        <v>-1371542</v>
      </c>
      <c r="H30" s="1041"/>
      <c r="I30" s="1041">
        <v>-23541</v>
      </c>
      <c r="J30" s="1041">
        <v>-248</v>
      </c>
      <c r="K30" s="1041">
        <v>-716765</v>
      </c>
      <c r="L30" s="1041">
        <v>-630988</v>
      </c>
      <c r="M30" s="1041">
        <v>0</v>
      </c>
      <c r="N30" s="1041"/>
      <c r="O30" s="1105">
        <v>-23541</v>
      </c>
      <c r="P30" s="1105">
        <v>-248</v>
      </c>
      <c r="Q30" s="1105">
        <v>-716765</v>
      </c>
      <c r="R30" s="838">
        <v>-630988</v>
      </c>
      <c r="S30" s="838">
        <v>0</v>
      </c>
      <c r="T30" s="1041"/>
      <c r="U30" s="1105">
        <v>-23541</v>
      </c>
      <c r="V30" s="1105">
        <v>-248</v>
      </c>
      <c r="W30" s="1105">
        <v>-716765</v>
      </c>
      <c r="X30" s="838">
        <v>-630988</v>
      </c>
      <c r="Y30">
        <v>0</v>
      </c>
    </row>
    <row r="31" spans="1:25" ht="12.75">
      <c r="A31" s="1072">
        <f t="shared" si="2"/>
        <v>5.039999999999999</v>
      </c>
      <c r="B31" s="838" t="s">
        <v>1112</v>
      </c>
      <c r="C31" s="1041">
        <v>827478248.4</v>
      </c>
      <c r="D31" s="1041">
        <v>904287316.3800001</v>
      </c>
      <c r="E31" s="1041"/>
      <c r="F31" s="1041"/>
      <c r="G31" s="1041">
        <f t="shared" si="1"/>
        <v>865882782</v>
      </c>
      <c r="H31" s="1041"/>
      <c r="I31" s="1041">
        <v>73679747.02000001</v>
      </c>
      <c r="J31" s="1041">
        <v>345846650.35</v>
      </c>
      <c r="K31" s="1041">
        <v>195861823.625</v>
      </c>
      <c r="L31" s="1041">
        <v>250494561.395</v>
      </c>
      <c r="M31" s="1041">
        <v>0</v>
      </c>
      <c r="N31" s="1041"/>
      <c r="O31" s="838">
        <v>84062545.33000001</v>
      </c>
      <c r="P31" s="838">
        <v>318770363.84999996</v>
      </c>
      <c r="Q31" s="838">
        <v>188691560.35</v>
      </c>
      <c r="R31" s="838">
        <v>235953778.87</v>
      </c>
      <c r="S31" s="838">
        <v>0</v>
      </c>
      <c r="T31" s="1041"/>
      <c r="U31" s="838">
        <v>63296948.71</v>
      </c>
      <c r="V31" s="838">
        <v>372922936.85</v>
      </c>
      <c r="W31" s="838">
        <v>203032086.9</v>
      </c>
      <c r="X31" s="838">
        <v>265035343.92000002</v>
      </c>
      <c r="Y31">
        <v>0</v>
      </c>
    </row>
    <row r="32" spans="1:25" ht="12.75">
      <c r="A32" s="1072">
        <f t="shared" si="2"/>
        <v>5.049999999999999</v>
      </c>
      <c r="B32" s="838" t="s">
        <v>1113</v>
      </c>
      <c r="C32" s="1041">
        <v>41500349.800000004</v>
      </c>
      <c r="D32" s="1041">
        <v>43393156.800000004</v>
      </c>
      <c r="E32" s="1041"/>
      <c r="F32" s="1041"/>
      <c r="G32" s="1041">
        <f t="shared" si="1"/>
        <v>42446753</v>
      </c>
      <c r="H32" s="1041"/>
      <c r="I32" s="1041">
        <v>3340979.6</v>
      </c>
      <c r="J32" s="1041">
        <v>38686878.650000006</v>
      </c>
      <c r="K32" s="1041">
        <v>25035.5</v>
      </c>
      <c r="L32" s="1041">
        <v>393859.55</v>
      </c>
      <c r="M32" s="1041">
        <v>0</v>
      </c>
      <c r="N32" s="1041"/>
      <c r="O32" s="838">
        <v>3340979.6</v>
      </c>
      <c r="P32" s="838">
        <v>37749761.7</v>
      </c>
      <c r="Q32" s="838">
        <v>25035.5</v>
      </c>
      <c r="R32" s="838">
        <v>384573</v>
      </c>
      <c r="S32" s="838">
        <v>0</v>
      </c>
      <c r="T32" s="1041"/>
      <c r="U32" s="838">
        <v>3340979.6</v>
      </c>
      <c r="V32" s="838">
        <v>39623995.6</v>
      </c>
      <c r="W32" s="838">
        <v>25035.5</v>
      </c>
      <c r="X32" s="838">
        <v>403146.1</v>
      </c>
      <c r="Y32">
        <v>0</v>
      </c>
    </row>
    <row r="33" spans="1:25" ht="12.75">
      <c r="A33" s="1072">
        <f t="shared" si="2"/>
        <v>5.059999999999999</v>
      </c>
      <c r="B33" s="838" t="s">
        <v>1114</v>
      </c>
      <c r="C33" s="1041">
        <v>59584</v>
      </c>
      <c r="D33" s="1041">
        <v>36437.450000000004</v>
      </c>
      <c r="E33" s="1041"/>
      <c r="F33" s="1041"/>
      <c r="G33" s="1041">
        <f t="shared" si="1"/>
        <v>48011</v>
      </c>
      <c r="H33" s="1041"/>
      <c r="I33" s="1041">
        <v>2989.7</v>
      </c>
      <c r="J33" s="1041">
        <v>37503.375</v>
      </c>
      <c r="K33" s="1041">
        <v>2312.275</v>
      </c>
      <c r="L33" s="1041">
        <v>5205.375</v>
      </c>
      <c r="M33" s="1041">
        <v>0</v>
      </c>
      <c r="N33" s="1041"/>
      <c r="O33" s="838">
        <v>3710.35</v>
      </c>
      <c r="P33" s="838">
        <v>46544.05</v>
      </c>
      <c r="Q33" s="838">
        <v>2869.65</v>
      </c>
      <c r="R33" s="838">
        <v>6459.95</v>
      </c>
      <c r="S33" s="838">
        <v>0</v>
      </c>
      <c r="T33" s="1041"/>
      <c r="U33" s="838">
        <v>2269.05</v>
      </c>
      <c r="V33" s="838">
        <v>28462.7</v>
      </c>
      <c r="W33" s="838">
        <v>1754.9</v>
      </c>
      <c r="X33" s="838">
        <v>3950.8</v>
      </c>
      <c r="Y33">
        <v>0</v>
      </c>
    </row>
    <row r="34" spans="1:25" ht="12.75">
      <c r="A34" s="1072">
        <f t="shared" si="2"/>
        <v>5.0699999999999985</v>
      </c>
      <c r="B34" s="838" t="s">
        <v>1115</v>
      </c>
      <c r="C34" s="1438">
        <v>266270.9</v>
      </c>
      <c r="D34" s="1438">
        <v>192236.45</v>
      </c>
      <c r="E34" s="1438"/>
      <c r="F34" s="1438"/>
      <c r="G34" s="1438">
        <f t="shared" si="1"/>
        <v>229254</v>
      </c>
      <c r="H34" s="1438"/>
      <c r="I34" s="1438">
        <v>0</v>
      </c>
      <c r="J34" s="1438">
        <v>0</v>
      </c>
      <c r="K34" s="1438">
        <v>0</v>
      </c>
      <c r="L34" s="1438">
        <v>229253.67500000002</v>
      </c>
      <c r="M34" s="1438">
        <v>0</v>
      </c>
      <c r="N34" s="1438"/>
      <c r="O34" s="838">
        <v>0</v>
      </c>
      <c r="P34" s="838">
        <v>0</v>
      </c>
      <c r="Q34" s="838">
        <v>0</v>
      </c>
      <c r="R34" s="838">
        <v>266270.9</v>
      </c>
      <c r="S34" s="838">
        <v>0</v>
      </c>
      <c r="T34" s="1438"/>
      <c r="U34" s="838">
        <v>0</v>
      </c>
      <c r="V34" s="838">
        <v>0</v>
      </c>
      <c r="W34" s="838">
        <v>0</v>
      </c>
      <c r="X34" s="838">
        <v>192236.45</v>
      </c>
      <c r="Y34" s="1352">
        <v>0</v>
      </c>
    </row>
    <row r="35" spans="1:25" ht="12.75">
      <c r="A35" s="1072">
        <f t="shared" si="2"/>
        <v>5.079999999999998</v>
      </c>
      <c r="B35" s="838" t="s">
        <v>1116</v>
      </c>
      <c r="C35" s="1438">
        <v>167825.5</v>
      </c>
      <c r="D35" s="1438">
        <v>220949.03999999998</v>
      </c>
      <c r="E35" s="1438"/>
      <c r="F35" s="1438"/>
      <c r="G35" s="1438">
        <f t="shared" si="1"/>
        <v>194387</v>
      </c>
      <c r="H35" s="1438"/>
      <c r="I35" s="1438">
        <v>0</v>
      </c>
      <c r="J35" s="1438">
        <v>134271.025</v>
      </c>
      <c r="K35" s="1438">
        <v>60116.244999999995</v>
      </c>
      <c r="L35" s="1438">
        <v>0</v>
      </c>
      <c r="M35" s="1438">
        <v>0</v>
      </c>
      <c r="N35" s="1438"/>
      <c r="O35" s="838">
        <v>0</v>
      </c>
      <c r="P35" s="838">
        <v>142169.3</v>
      </c>
      <c r="Q35" s="838">
        <v>25656.2</v>
      </c>
      <c r="R35" s="838">
        <v>0</v>
      </c>
      <c r="S35" s="838">
        <v>0</v>
      </c>
      <c r="T35" s="1438"/>
      <c r="U35" s="838">
        <v>0</v>
      </c>
      <c r="V35" s="838">
        <v>126372.75</v>
      </c>
      <c r="W35" s="838">
        <v>94576.29</v>
      </c>
      <c r="X35" s="838">
        <v>0</v>
      </c>
      <c r="Y35" s="1352">
        <v>0</v>
      </c>
    </row>
    <row r="36" spans="1:25" ht="12.75">
      <c r="A36" s="1072">
        <f t="shared" si="2"/>
        <v>5.089999999999998</v>
      </c>
      <c r="B36" s="838" t="s">
        <v>1117</v>
      </c>
      <c r="C36" s="1046">
        <v>24483096.34</v>
      </c>
      <c r="D36" s="1046">
        <v>26804213.669999998</v>
      </c>
      <c r="E36" s="1046"/>
      <c r="F36" s="1046"/>
      <c r="G36" s="1046">
        <f>ROUND(SUM(C36:F36)/2,0)</f>
        <v>25643655</v>
      </c>
      <c r="H36" s="1046"/>
      <c r="I36" s="1046">
        <v>15646277.620000001</v>
      </c>
      <c r="J36" s="1046">
        <v>9880820.434999999</v>
      </c>
      <c r="K36" s="1046">
        <v>-2823.21</v>
      </c>
      <c r="L36" s="1046">
        <v>119380.16</v>
      </c>
      <c r="M36" s="1046">
        <v>0</v>
      </c>
      <c r="N36" s="1046"/>
      <c r="O36" s="1440">
        <v>14266287.19</v>
      </c>
      <c r="P36" s="1440">
        <v>10101625.08</v>
      </c>
      <c r="Q36" s="1440">
        <v>-2823.21</v>
      </c>
      <c r="R36" s="1440">
        <v>118007.28</v>
      </c>
      <c r="S36" s="1440">
        <v>0</v>
      </c>
      <c r="T36" s="1046"/>
      <c r="U36" s="1440">
        <v>17026268.05</v>
      </c>
      <c r="V36" s="1440">
        <v>9660015.79</v>
      </c>
      <c r="W36" s="1440">
        <v>-2823.21</v>
      </c>
      <c r="X36" s="1440">
        <v>120753.04</v>
      </c>
      <c r="Y36" s="1443">
        <v>0</v>
      </c>
    </row>
    <row r="37" spans="1:25" ht="12.75">
      <c r="A37" s="1072">
        <f t="shared" si="2"/>
        <v>5.099999999999998</v>
      </c>
      <c r="B37" s="838" t="s">
        <v>1118</v>
      </c>
      <c r="C37" s="1041">
        <v>81324391.19999999</v>
      </c>
      <c r="D37" s="1041">
        <v>62863762.949999996</v>
      </c>
      <c r="E37" s="1041"/>
      <c r="F37" s="1041"/>
      <c r="G37" s="1041">
        <f t="shared" si="1"/>
        <v>72094077</v>
      </c>
      <c r="H37" s="1041"/>
      <c r="I37" s="1041">
        <v>17071953.299999997</v>
      </c>
      <c r="J37" s="1041">
        <v>23972723.799999997</v>
      </c>
      <c r="K37" s="1041">
        <v>6568580.975</v>
      </c>
      <c r="L37" s="1041">
        <v>24480819</v>
      </c>
      <c r="M37" s="1041">
        <v>0</v>
      </c>
      <c r="N37" s="1041"/>
      <c r="O37" s="838">
        <v>27867827.4</v>
      </c>
      <c r="P37" s="838">
        <v>22951470.2</v>
      </c>
      <c r="Q37" s="838">
        <v>6125715.35</v>
      </c>
      <c r="R37" s="838">
        <v>24379378.25</v>
      </c>
      <c r="S37" s="838">
        <v>0</v>
      </c>
      <c r="T37" s="1041"/>
      <c r="U37" s="838">
        <v>6276079.199999999</v>
      </c>
      <c r="V37" s="838">
        <v>24993977.4</v>
      </c>
      <c r="W37" s="838">
        <v>7011446.6</v>
      </c>
      <c r="X37" s="838">
        <v>24582259.75</v>
      </c>
      <c r="Y37">
        <v>0</v>
      </c>
    </row>
    <row r="38" spans="1:25" ht="12.75">
      <c r="A38" s="1072">
        <f t="shared" si="2"/>
        <v>5.109999999999998</v>
      </c>
      <c r="B38" s="838" t="s">
        <v>1119</v>
      </c>
      <c r="C38" s="1041">
        <v>-2404047.07</v>
      </c>
      <c r="D38" s="1041">
        <v>-2135411.2199999997</v>
      </c>
      <c r="E38" s="1041"/>
      <c r="F38" s="1041"/>
      <c r="G38" s="1041">
        <f t="shared" si="1"/>
        <v>-2269729</v>
      </c>
      <c r="H38" s="1041"/>
      <c r="I38" s="1041">
        <v>-1958206.6949999998</v>
      </c>
      <c r="J38" s="1041">
        <v>-311522.45</v>
      </c>
      <c r="K38" s="1041">
        <v>0</v>
      </c>
      <c r="L38" s="1041">
        <v>0</v>
      </c>
      <c r="M38" s="1041">
        <v>0</v>
      </c>
      <c r="N38" s="1041"/>
      <c r="O38" s="838">
        <v>-2074089.42</v>
      </c>
      <c r="P38" s="838">
        <v>-329957.65</v>
      </c>
      <c r="Q38" s="838">
        <v>0</v>
      </c>
      <c r="R38" s="838">
        <v>0</v>
      </c>
      <c r="S38" s="838">
        <v>0</v>
      </c>
      <c r="T38" s="1041"/>
      <c r="U38" s="838">
        <v>-1842323.97</v>
      </c>
      <c r="V38" s="838">
        <v>-293087.25</v>
      </c>
      <c r="W38" s="838">
        <v>0</v>
      </c>
      <c r="X38" s="838">
        <v>0</v>
      </c>
      <c r="Y38">
        <v>0</v>
      </c>
    </row>
    <row r="39" spans="1:25" ht="12.75">
      <c r="A39" s="1072">
        <f t="shared" si="2"/>
        <v>5.119999999999997</v>
      </c>
      <c r="B39" s="838" t="s">
        <v>1120</v>
      </c>
      <c r="C39" s="1041">
        <v>23058620.51</v>
      </c>
      <c r="D39" s="1041">
        <v>74253025.66</v>
      </c>
      <c r="E39" s="1041"/>
      <c r="F39" s="1041"/>
      <c r="G39" s="1041">
        <f t="shared" si="1"/>
        <v>48655823</v>
      </c>
      <c r="H39" s="1041"/>
      <c r="I39" s="1041">
        <v>48655823.085</v>
      </c>
      <c r="J39" s="1041">
        <v>0</v>
      </c>
      <c r="K39" s="1041">
        <v>0</v>
      </c>
      <c r="L39" s="1041">
        <v>0</v>
      </c>
      <c r="M39" s="1041">
        <v>0</v>
      </c>
      <c r="N39" s="1041"/>
      <c r="O39" s="838">
        <v>23058620.51</v>
      </c>
      <c r="P39" s="838">
        <v>0</v>
      </c>
      <c r="Q39" s="838">
        <v>0</v>
      </c>
      <c r="R39" s="838">
        <v>0</v>
      </c>
      <c r="S39" s="838">
        <v>0</v>
      </c>
      <c r="T39" s="1041"/>
      <c r="U39" s="838">
        <v>74253025.66</v>
      </c>
      <c r="V39" s="838">
        <v>0</v>
      </c>
      <c r="W39" s="838">
        <v>0</v>
      </c>
      <c r="X39" s="838">
        <v>0</v>
      </c>
      <c r="Y39">
        <v>0</v>
      </c>
    </row>
    <row r="40" spans="1:25" ht="12.75">
      <c r="A40" s="1072">
        <f t="shared" si="2"/>
        <v>5.129999999999997</v>
      </c>
      <c r="B40" s="838" t="s">
        <v>1121</v>
      </c>
      <c r="C40" s="1041">
        <v>20393055.259999998</v>
      </c>
      <c r="D40" s="1041">
        <v>21277461.939999998</v>
      </c>
      <c r="E40" s="1041"/>
      <c r="F40" s="1041"/>
      <c r="G40" s="1041">
        <f t="shared" si="1"/>
        <v>20835259</v>
      </c>
      <c r="H40" s="1041"/>
      <c r="I40" s="1041">
        <v>4272482.949999999</v>
      </c>
      <c r="J40" s="1041">
        <v>9138003.135</v>
      </c>
      <c r="K40" s="1041">
        <v>3690298.4250000007</v>
      </c>
      <c r="L40" s="1041">
        <v>3734474.09</v>
      </c>
      <c r="M40" s="1041">
        <v>0</v>
      </c>
      <c r="N40" s="1041"/>
      <c r="O40" s="838">
        <v>4246146.47</v>
      </c>
      <c r="P40" s="838">
        <v>8982558.73</v>
      </c>
      <c r="Q40" s="838">
        <v>3584668.380000001</v>
      </c>
      <c r="R40" s="838">
        <v>3579681.6799999997</v>
      </c>
      <c r="S40" s="838">
        <v>0</v>
      </c>
      <c r="T40" s="1041"/>
      <c r="U40" s="838">
        <v>4298819.43</v>
      </c>
      <c r="V40" s="838">
        <v>9293447.54</v>
      </c>
      <c r="W40" s="838">
        <v>3795928.4700000007</v>
      </c>
      <c r="X40" s="838">
        <v>3889266.5</v>
      </c>
      <c r="Y40">
        <v>0</v>
      </c>
    </row>
    <row r="41" spans="1:25" ht="12.75">
      <c r="A41" s="1072">
        <f t="shared" si="2"/>
        <v>5.139999999999997</v>
      </c>
      <c r="B41" s="838" t="s">
        <v>1122</v>
      </c>
      <c r="C41" s="1041">
        <v>746389.9499999993</v>
      </c>
      <c r="D41" s="1041">
        <v>582647.3000000007</v>
      </c>
      <c r="E41" s="1041"/>
      <c r="F41" s="1041"/>
      <c r="G41" s="1041">
        <f t="shared" si="1"/>
        <v>664519</v>
      </c>
      <c r="H41" s="1041"/>
      <c r="I41" s="1041">
        <v>0</v>
      </c>
      <c r="J41" s="1041">
        <v>664518.625</v>
      </c>
      <c r="K41" s="1041">
        <v>0</v>
      </c>
      <c r="L41" s="1041">
        <v>0</v>
      </c>
      <c r="M41" s="1041">
        <v>0</v>
      </c>
      <c r="N41" s="1041"/>
      <c r="O41" s="838">
        <v>0</v>
      </c>
      <c r="P41" s="838">
        <v>746389.9499999993</v>
      </c>
      <c r="Q41" s="838">
        <v>0</v>
      </c>
      <c r="R41" s="838">
        <v>0</v>
      </c>
      <c r="S41" s="838">
        <v>0</v>
      </c>
      <c r="T41" s="1041"/>
      <c r="U41" s="838">
        <v>0</v>
      </c>
      <c r="V41" s="838">
        <v>582647.3000000007</v>
      </c>
      <c r="W41" s="838">
        <v>0</v>
      </c>
      <c r="X41" s="838">
        <v>0</v>
      </c>
      <c r="Y41">
        <v>0</v>
      </c>
    </row>
    <row r="42" spans="1:25" ht="12.75">
      <c r="A42" s="1072">
        <f t="shared" si="2"/>
        <v>5.149999999999997</v>
      </c>
      <c r="B42" s="838" t="s">
        <v>1123</v>
      </c>
      <c r="C42" s="1041">
        <v>0</v>
      </c>
      <c r="D42" s="1041">
        <v>0</v>
      </c>
      <c r="E42" s="1041"/>
      <c r="F42" s="1041"/>
      <c r="G42" s="1041">
        <f t="shared" si="1"/>
        <v>0</v>
      </c>
      <c r="H42" s="1041"/>
      <c r="I42" s="1041">
        <v>0</v>
      </c>
      <c r="J42" s="1041">
        <v>0</v>
      </c>
      <c r="K42" s="1041">
        <v>0</v>
      </c>
      <c r="L42" s="1041">
        <v>0</v>
      </c>
      <c r="M42" s="1041">
        <v>0</v>
      </c>
      <c r="N42" s="1041"/>
      <c r="O42" s="838">
        <v>0</v>
      </c>
      <c r="P42" s="838">
        <v>0</v>
      </c>
      <c r="Q42" s="838">
        <v>0</v>
      </c>
      <c r="R42" s="838">
        <v>0</v>
      </c>
      <c r="S42" s="838">
        <v>0</v>
      </c>
      <c r="T42" s="1041"/>
      <c r="U42" s="838">
        <v>0</v>
      </c>
      <c r="V42" s="838">
        <v>0</v>
      </c>
      <c r="W42" s="838">
        <v>0</v>
      </c>
      <c r="X42" s="838">
        <v>0</v>
      </c>
      <c r="Y42">
        <v>0</v>
      </c>
    </row>
    <row r="43" spans="1:25" ht="12.75">
      <c r="A43" s="1072">
        <f t="shared" si="2"/>
        <v>5.159999999999997</v>
      </c>
      <c r="B43" s="838" t="s">
        <v>1124</v>
      </c>
      <c r="C43" s="1041">
        <v>0.15000000037252903</v>
      </c>
      <c r="D43" s="1041">
        <v>0.15000000037252903</v>
      </c>
      <c r="E43" s="1041"/>
      <c r="F43" s="1041"/>
      <c r="G43" s="1041">
        <f t="shared" si="1"/>
        <v>0</v>
      </c>
      <c r="H43" s="1041"/>
      <c r="I43" s="1041">
        <v>0</v>
      </c>
      <c r="J43" s="1041">
        <v>0</v>
      </c>
      <c r="K43" s="1041">
        <v>0.15000000037252903</v>
      </c>
      <c r="L43" s="1041">
        <v>0</v>
      </c>
      <c r="M43" s="1041">
        <v>0</v>
      </c>
      <c r="N43" s="1041"/>
      <c r="O43" s="838">
        <v>0</v>
      </c>
      <c r="P43" s="838">
        <v>0</v>
      </c>
      <c r="Q43" s="838">
        <v>0.15000000037252903</v>
      </c>
      <c r="R43" s="838">
        <v>0</v>
      </c>
      <c r="S43" s="838">
        <v>0</v>
      </c>
      <c r="T43" s="1041"/>
      <c r="U43" s="838">
        <v>0</v>
      </c>
      <c r="V43" s="838">
        <v>0</v>
      </c>
      <c r="W43" s="838">
        <v>0.15000000037252903</v>
      </c>
      <c r="X43" s="838">
        <v>0</v>
      </c>
      <c r="Y43">
        <v>0</v>
      </c>
    </row>
    <row r="44" spans="1:25" ht="12.75">
      <c r="A44" s="1072">
        <f t="shared" si="2"/>
        <v>5.169999999999996</v>
      </c>
      <c r="B44" s="838" t="s">
        <v>1125</v>
      </c>
      <c r="C44" s="1041">
        <v>0</v>
      </c>
      <c r="D44" s="1041">
        <v>0</v>
      </c>
      <c r="E44" s="1041"/>
      <c r="F44" s="1041"/>
      <c r="G44" s="1041">
        <f t="shared" si="1"/>
        <v>0</v>
      </c>
      <c r="H44" s="1041"/>
      <c r="I44" s="1041">
        <v>0</v>
      </c>
      <c r="J44" s="1041">
        <v>0</v>
      </c>
      <c r="K44" s="1041">
        <v>0</v>
      </c>
      <c r="L44" s="1041">
        <v>0</v>
      </c>
      <c r="M44" s="1041">
        <v>0</v>
      </c>
      <c r="N44" s="1041"/>
      <c r="O44" s="838">
        <v>0</v>
      </c>
      <c r="P44" s="838">
        <v>0</v>
      </c>
      <c r="Q44" s="838">
        <v>0</v>
      </c>
      <c r="R44" s="838">
        <v>0</v>
      </c>
      <c r="S44" s="838">
        <v>0</v>
      </c>
      <c r="T44" s="1041"/>
      <c r="U44" s="838">
        <v>0</v>
      </c>
      <c r="V44" s="838">
        <v>0</v>
      </c>
      <c r="W44" s="838">
        <v>0</v>
      </c>
      <c r="X44" s="838">
        <v>0</v>
      </c>
      <c r="Y44">
        <v>0</v>
      </c>
    </row>
    <row r="45" spans="1:25" ht="12.75">
      <c r="A45" s="1072">
        <f t="shared" si="2"/>
        <v>5.179999999999996</v>
      </c>
      <c r="B45" s="838" t="s">
        <v>1126</v>
      </c>
      <c r="C45" s="1041">
        <v>158585</v>
      </c>
      <c r="D45" s="1041">
        <v>75934</v>
      </c>
      <c r="E45" s="1041"/>
      <c r="F45" s="1041"/>
      <c r="G45" s="1041">
        <f t="shared" si="1"/>
        <v>117260</v>
      </c>
      <c r="H45" s="1041"/>
      <c r="I45" s="1041">
        <v>117259.5</v>
      </c>
      <c r="J45" s="1041">
        <v>0</v>
      </c>
      <c r="K45" s="1041">
        <v>0</v>
      </c>
      <c r="L45" s="1041">
        <v>0</v>
      </c>
      <c r="M45" s="1041">
        <v>0</v>
      </c>
      <c r="N45" s="1041"/>
      <c r="O45" s="838">
        <v>158585</v>
      </c>
      <c r="P45" s="838">
        <v>0</v>
      </c>
      <c r="Q45" s="838">
        <v>0</v>
      </c>
      <c r="R45" s="838">
        <v>0</v>
      </c>
      <c r="S45" s="838">
        <v>0</v>
      </c>
      <c r="T45" s="1041"/>
      <c r="U45" s="838">
        <v>75934</v>
      </c>
      <c r="V45" s="838">
        <v>0</v>
      </c>
      <c r="W45" s="838">
        <v>0</v>
      </c>
      <c r="X45" s="838">
        <v>0</v>
      </c>
      <c r="Y45">
        <v>0</v>
      </c>
    </row>
    <row r="46" spans="1:25" ht="12.75">
      <c r="A46" s="1072">
        <f t="shared" si="2"/>
        <v>5.189999999999996</v>
      </c>
      <c r="B46" s="838" t="s">
        <v>1127</v>
      </c>
      <c r="C46" s="1041">
        <v>0.009999999776482582</v>
      </c>
      <c r="D46" s="1041">
        <v>0.009999999776482582</v>
      </c>
      <c r="E46" s="1041"/>
      <c r="F46" s="1041"/>
      <c r="G46" s="1041">
        <f t="shared" si="1"/>
        <v>0</v>
      </c>
      <c r="H46" s="1041"/>
      <c r="I46" s="1041">
        <v>0</v>
      </c>
      <c r="J46" s="1041">
        <v>0</v>
      </c>
      <c r="K46" s="1041">
        <v>0.009999999776482582</v>
      </c>
      <c r="L46" s="1041">
        <v>0</v>
      </c>
      <c r="M46" s="1041">
        <v>0</v>
      </c>
      <c r="N46" s="1041"/>
      <c r="O46" s="838">
        <v>0</v>
      </c>
      <c r="P46" s="838">
        <v>0</v>
      </c>
      <c r="Q46" s="838">
        <v>0.009999999776482582</v>
      </c>
      <c r="R46" s="838">
        <v>0</v>
      </c>
      <c r="S46" s="838">
        <v>0</v>
      </c>
      <c r="T46" s="1041"/>
      <c r="U46" s="838">
        <v>0</v>
      </c>
      <c r="V46" s="838">
        <v>0</v>
      </c>
      <c r="W46" s="838">
        <v>0.009999999776482582</v>
      </c>
      <c r="X46" s="838">
        <v>0</v>
      </c>
      <c r="Y46">
        <v>0</v>
      </c>
    </row>
    <row r="47" spans="1:25" ht="12.75">
      <c r="A47" s="1072">
        <f t="shared" si="2"/>
        <v>5.199999999999996</v>
      </c>
      <c r="B47" s="838" t="s">
        <v>1128</v>
      </c>
      <c r="C47" s="1041">
        <v>0</v>
      </c>
      <c r="D47" s="1041">
        <v>0</v>
      </c>
      <c r="E47" s="1041"/>
      <c r="F47" s="1041"/>
      <c r="G47" s="1041">
        <f t="shared" si="1"/>
        <v>0</v>
      </c>
      <c r="H47" s="1041"/>
      <c r="I47" s="1041">
        <v>0</v>
      </c>
      <c r="J47" s="1041">
        <v>0</v>
      </c>
      <c r="K47" s="1041">
        <v>0</v>
      </c>
      <c r="L47" s="1041">
        <v>0</v>
      </c>
      <c r="M47" s="1041">
        <v>0</v>
      </c>
      <c r="N47" s="1041"/>
      <c r="O47" s="838">
        <v>0</v>
      </c>
      <c r="P47" s="838">
        <v>0</v>
      </c>
      <c r="Q47" s="838">
        <v>0</v>
      </c>
      <c r="R47" s="838">
        <v>0</v>
      </c>
      <c r="S47" s="838">
        <v>0</v>
      </c>
      <c r="T47" s="1041"/>
      <c r="U47" s="838">
        <v>0</v>
      </c>
      <c r="V47" s="838">
        <v>0</v>
      </c>
      <c r="W47" s="838">
        <v>0</v>
      </c>
      <c r="X47" s="838">
        <v>0</v>
      </c>
      <c r="Y47">
        <v>0</v>
      </c>
    </row>
    <row r="48" spans="1:25" ht="12.75">
      <c r="A48" s="1072">
        <f t="shared" si="2"/>
        <v>5.2099999999999955</v>
      </c>
      <c r="B48" s="838" t="s">
        <v>1129</v>
      </c>
      <c r="C48" s="1041">
        <v>0</v>
      </c>
      <c r="D48" s="1041">
        <v>0</v>
      </c>
      <c r="E48" s="1041"/>
      <c r="F48" s="1041"/>
      <c r="G48" s="1041">
        <f t="shared" si="1"/>
        <v>0</v>
      </c>
      <c r="H48" s="1041"/>
      <c r="I48" s="1041">
        <v>0</v>
      </c>
      <c r="J48" s="1041">
        <v>0</v>
      </c>
      <c r="K48" s="1041">
        <v>0</v>
      </c>
      <c r="L48" s="1041">
        <v>0</v>
      </c>
      <c r="M48" s="1041">
        <v>0</v>
      </c>
      <c r="N48" s="1041"/>
      <c r="O48" s="838">
        <v>0</v>
      </c>
      <c r="P48" s="838">
        <v>0</v>
      </c>
      <c r="Q48" s="838">
        <v>0</v>
      </c>
      <c r="R48" s="838">
        <v>0</v>
      </c>
      <c r="S48" s="838">
        <v>0</v>
      </c>
      <c r="T48" s="1041"/>
      <c r="U48" s="838">
        <v>0</v>
      </c>
      <c r="V48" s="838">
        <v>0</v>
      </c>
      <c r="W48" s="838">
        <v>0</v>
      </c>
      <c r="X48" s="838">
        <v>0</v>
      </c>
      <c r="Y48">
        <v>0</v>
      </c>
    </row>
    <row r="49" spans="1:25" ht="12.75">
      <c r="A49" s="1072">
        <f t="shared" si="2"/>
        <v>5.219999999999995</v>
      </c>
      <c r="B49" s="838" t="s">
        <v>1130</v>
      </c>
      <c r="C49" s="1041">
        <v>3739</v>
      </c>
      <c r="D49" s="1041">
        <v>0</v>
      </c>
      <c r="E49" s="1041"/>
      <c r="F49" s="1041"/>
      <c r="G49" s="1041">
        <f t="shared" si="1"/>
        <v>1870</v>
      </c>
      <c r="H49" s="1041"/>
      <c r="I49" s="1041">
        <v>1869.5</v>
      </c>
      <c r="J49" s="1041">
        <v>0</v>
      </c>
      <c r="K49" s="1041">
        <v>0</v>
      </c>
      <c r="L49" s="1041">
        <v>0</v>
      </c>
      <c r="M49" s="1041">
        <v>0</v>
      </c>
      <c r="N49" s="1041"/>
      <c r="O49" s="838">
        <v>3739</v>
      </c>
      <c r="P49" s="838">
        <v>0</v>
      </c>
      <c r="Q49" s="838">
        <v>0</v>
      </c>
      <c r="R49" s="838">
        <v>0</v>
      </c>
      <c r="S49" s="838">
        <v>0</v>
      </c>
      <c r="T49" s="1041"/>
      <c r="U49" s="838">
        <v>0</v>
      </c>
      <c r="V49" s="838">
        <v>0</v>
      </c>
      <c r="W49" s="838">
        <v>0</v>
      </c>
      <c r="X49" s="838">
        <v>0</v>
      </c>
      <c r="Y49">
        <v>0</v>
      </c>
    </row>
    <row r="50" spans="1:25" ht="12.75">
      <c r="A50" s="1072">
        <f t="shared" si="2"/>
        <v>5.229999999999995</v>
      </c>
      <c r="B50" s="838" t="s">
        <v>1131</v>
      </c>
      <c r="C50" s="1041">
        <v>11965</v>
      </c>
      <c r="D50" s="1041">
        <v>0</v>
      </c>
      <c r="E50" s="1041"/>
      <c r="F50" s="1041"/>
      <c r="G50" s="1041">
        <f t="shared" si="1"/>
        <v>5983</v>
      </c>
      <c r="H50" s="1041"/>
      <c r="I50" s="1041">
        <v>5982.5</v>
      </c>
      <c r="J50" s="1041">
        <v>0</v>
      </c>
      <c r="K50" s="1041">
        <v>0</v>
      </c>
      <c r="L50" s="1041">
        <v>0</v>
      </c>
      <c r="M50" s="1041">
        <v>0</v>
      </c>
      <c r="N50" s="1041"/>
      <c r="O50" s="838">
        <v>11965</v>
      </c>
      <c r="P50" s="838">
        <v>0</v>
      </c>
      <c r="Q50" s="838">
        <v>0</v>
      </c>
      <c r="R50" s="838">
        <v>0</v>
      </c>
      <c r="S50" s="838">
        <v>0</v>
      </c>
      <c r="T50" s="1041"/>
      <c r="U50" s="838">
        <v>0</v>
      </c>
      <c r="V50" s="838">
        <v>0</v>
      </c>
      <c r="W50" s="838">
        <v>0</v>
      </c>
      <c r="X50" s="838">
        <v>0</v>
      </c>
      <c r="Y50">
        <v>0</v>
      </c>
    </row>
    <row r="51" spans="1:25" ht="12.75">
      <c r="A51" s="1072">
        <f t="shared" si="2"/>
        <v>5.239999999999995</v>
      </c>
      <c r="B51" s="838" t="s">
        <v>1132</v>
      </c>
      <c r="C51" s="1041">
        <v>0</v>
      </c>
      <c r="D51" s="1041">
        <v>0</v>
      </c>
      <c r="E51" s="1041"/>
      <c r="F51" s="1041"/>
      <c r="G51" s="1041">
        <f>ROUND(SUM(C51:F51)/2,0)</f>
        <v>0</v>
      </c>
      <c r="H51" s="1041"/>
      <c r="I51" s="1041">
        <v>0</v>
      </c>
      <c r="J51" s="1041">
        <v>0</v>
      </c>
      <c r="K51" s="1041">
        <v>0</v>
      </c>
      <c r="L51" s="1041">
        <v>0</v>
      </c>
      <c r="M51" s="1041">
        <v>0</v>
      </c>
      <c r="N51" s="1041"/>
      <c r="O51" s="838">
        <v>0</v>
      </c>
      <c r="P51" s="838">
        <v>0</v>
      </c>
      <c r="Q51" s="838">
        <v>0</v>
      </c>
      <c r="R51" s="838">
        <v>0</v>
      </c>
      <c r="S51" s="838">
        <v>0</v>
      </c>
      <c r="T51" s="1041"/>
      <c r="U51" s="838">
        <v>0</v>
      </c>
      <c r="V51" s="838">
        <v>0</v>
      </c>
      <c r="W51" s="838">
        <v>0</v>
      </c>
      <c r="X51" s="838">
        <v>0</v>
      </c>
      <c r="Y51">
        <v>0</v>
      </c>
    </row>
    <row r="52" spans="1:25" ht="12.75">
      <c r="A52" s="1072">
        <f t="shared" si="2"/>
        <v>5.249999999999995</v>
      </c>
      <c r="B52" s="838" t="s">
        <v>1133</v>
      </c>
      <c r="C52" s="1041">
        <v>0</v>
      </c>
      <c r="D52" s="1041">
        <v>0</v>
      </c>
      <c r="E52" s="1041"/>
      <c r="F52" s="1041"/>
      <c r="G52" s="1041">
        <f>ROUND(SUM(C52:F52)/2,0)</f>
        <v>0</v>
      </c>
      <c r="H52" s="1041"/>
      <c r="I52" s="1041">
        <v>0</v>
      </c>
      <c r="J52" s="1041">
        <v>0</v>
      </c>
      <c r="K52" s="1041">
        <v>0</v>
      </c>
      <c r="L52" s="1041">
        <v>0</v>
      </c>
      <c r="M52" s="1041">
        <v>0</v>
      </c>
      <c r="N52" s="1041"/>
      <c r="O52" s="838">
        <v>0</v>
      </c>
      <c r="P52" s="838">
        <v>0</v>
      </c>
      <c r="Q52" s="838">
        <v>0</v>
      </c>
      <c r="R52" s="838">
        <v>0</v>
      </c>
      <c r="S52" s="838">
        <v>0</v>
      </c>
      <c r="T52" s="1041"/>
      <c r="U52" s="838">
        <v>0</v>
      </c>
      <c r="V52" s="838">
        <v>0</v>
      </c>
      <c r="W52" s="838">
        <v>0</v>
      </c>
      <c r="X52" s="838">
        <v>0</v>
      </c>
      <c r="Y52">
        <v>0</v>
      </c>
    </row>
    <row r="53" spans="1:25" ht="12.75">
      <c r="A53" s="1072">
        <f t="shared" si="2"/>
        <v>5.2599999999999945</v>
      </c>
      <c r="B53" s="838" t="s">
        <v>1134</v>
      </c>
      <c r="C53" s="1041">
        <v>0</v>
      </c>
      <c r="D53" s="1041">
        <v>0</v>
      </c>
      <c r="E53" s="1041"/>
      <c r="F53" s="1041"/>
      <c r="G53" s="1041">
        <f>ROUND(SUM(C53:F53)/2,0)</f>
        <v>0</v>
      </c>
      <c r="H53" s="1041"/>
      <c r="I53" s="1041">
        <v>0</v>
      </c>
      <c r="J53" s="1041">
        <v>0</v>
      </c>
      <c r="K53" s="1041">
        <v>0</v>
      </c>
      <c r="L53" s="1041">
        <v>0</v>
      </c>
      <c r="M53" s="1041">
        <v>0</v>
      </c>
      <c r="N53" s="1041"/>
      <c r="O53" s="838">
        <v>0</v>
      </c>
      <c r="P53" s="838">
        <v>0</v>
      </c>
      <c r="Q53" s="838">
        <v>0</v>
      </c>
      <c r="R53" s="838">
        <v>0</v>
      </c>
      <c r="S53" s="838">
        <v>0</v>
      </c>
      <c r="T53" s="1041"/>
      <c r="U53" s="838">
        <v>0</v>
      </c>
      <c r="V53" s="838">
        <v>0</v>
      </c>
      <c r="W53" s="838">
        <v>0</v>
      </c>
      <c r="X53" s="838">
        <v>0</v>
      </c>
      <c r="Y53">
        <v>0</v>
      </c>
    </row>
    <row r="54" spans="1:25" ht="12.75">
      <c r="A54" s="1072">
        <f t="shared" si="2"/>
        <v>5.269999999999994</v>
      </c>
      <c r="B54" s="838" t="s">
        <v>1135</v>
      </c>
      <c r="C54" s="1041">
        <v>0</v>
      </c>
      <c r="D54" s="1041">
        <v>0</v>
      </c>
      <c r="E54" s="1041"/>
      <c r="F54" s="1041"/>
      <c r="G54" s="1041">
        <f>ROUND(SUM(C54:F54)/2,0)</f>
        <v>0</v>
      </c>
      <c r="H54" s="1041"/>
      <c r="I54" s="1041">
        <v>0</v>
      </c>
      <c r="J54" s="1041">
        <v>0</v>
      </c>
      <c r="K54" s="1041">
        <v>0</v>
      </c>
      <c r="L54" s="1041">
        <v>0</v>
      </c>
      <c r="M54" s="1041">
        <v>0</v>
      </c>
      <c r="N54" s="1041"/>
      <c r="O54" s="838">
        <v>0</v>
      </c>
      <c r="P54" s="838">
        <v>0</v>
      </c>
      <c r="Q54" s="838">
        <v>0</v>
      </c>
      <c r="R54" s="838">
        <v>0</v>
      </c>
      <c r="S54" s="838">
        <v>0</v>
      </c>
      <c r="T54" s="1041"/>
      <c r="U54" s="838">
        <v>0</v>
      </c>
      <c r="V54" s="838">
        <v>0</v>
      </c>
      <c r="W54" s="838">
        <v>0</v>
      </c>
      <c r="X54" s="838">
        <v>0</v>
      </c>
      <c r="Y54">
        <v>0</v>
      </c>
    </row>
    <row r="55" spans="1:25" ht="12.75">
      <c r="A55" s="1072">
        <f t="shared" si="2"/>
        <v>5.279999999999994</v>
      </c>
      <c r="B55" s="838" t="s">
        <v>1136</v>
      </c>
      <c r="C55" s="1041">
        <v>447</v>
      </c>
      <c r="D55" s="1041">
        <v>214</v>
      </c>
      <c r="E55" s="1041"/>
      <c r="F55" s="1041"/>
      <c r="G55" s="1041">
        <f>ROUND(SUM(C55:F55)/2,0)</f>
        <v>331</v>
      </c>
      <c r="H55" s="1041"/>
      <c r="I55" s="1041">
        <v>330.5</v>
      </c>
      <c r="J55" s="1041">
        <v>0</v>
      </c>
      <c r="K55" s="1041">
        <v>0</v>
      </c>
      <c r="L55" s="1041">
        <v>0</v>
      </c>
      <c r="M55" s="1041">
        <v>0</v>
      </c>
      <c r="N55" s="1041"/>
      <c r="O55" s="838">
        <v>447</v>
      </c>
      <c r="P55" s="838">
        <v>0</v>
      </c>
      <c r="Q55" s="838">
        <v>0</v>
      </c>
      <c r="R55" s="838">
        <v>0</v>
      </c>
      <c r="S55" s="838">
        <v>0</v>
      </c>
      <c r="T55" s="1041"/>
      <c r="U55" s="838">
        <v>214</v>
      </c>
      <c r="V55" s="838">
        <v>0</v>
      </c>
      <c r="W55" s="838">
        <v>0</v>
      </c>
      <c r="X55" s="838">
        <v>0</v>
      </c>
      <c r="Y55">
        <v>0</v>
      </c>
    </row>
    <row r="56" spans="1:25" ht="12.75">
      <c r="A56" s="1072">
        <f t="shared" si="2"/>
        <v>5.289999999999994</v>
      </c>
      <c r="B56" s="838" t="s">
        <v>1137</v>
      </c>
      <c r="C56" s="1041">
        <v>0</v>
      </c>
      <c r="D56" s="1041">
        <v>0</v>
      </c>
      <c r="E56" s="1041"/>
      <c r="F56" s="1041"/>
      <c r="G56" s="1041">
        <f aca="true" t="shared" si="3" ref="G56:G84">ROUND(SUM(C56:F56)/2,0)</f>
        <v>0</v>
      </c>
      <c r="H56" s="1041"/>
      <c r="I56" s="1041">
        <v>0</v>
      </c>
      <c r="J56" s="1041">
        <v>0</v>
      </c>
      <c r="K56" s="1041">
        <v>0</v>
      </c>
      <c r="L56" s="1041">
        <v>0</v>
      </c>
      <c r="M56" s="1041">
        <v>0</v>
      </c>
      <c r="N56" s="1041"/>
      <c r="O56" s="838">
        <v>0</v>
      </c>
      <c r="P56" s="838">
        <v>0</v>
      </c>
      <c r="Q56" s="838">
        <v>0</v>
      </c>
      <c r="R56" s="838">
        <v>0</v>
      </c>
      <c r="S56" s="838">
        <v>0</v>
      </c>
      <c r="T56" s="1041"/>
      <c r="U56" s="838">
        <v>0</v>
      </c>
      <c r="V56" s="838">
        <v>0</v>
      </c>
      <c r="W56" s="838">
        <v>0</v>
      </c>
      <c r="X56" s="838">
        <v>0</v>
      </c>
      <c r="Y56">
        <v>0</v>
      </c>
    </row>
    <row r="57" spans="1:25" ht="12.75">
      <c r="A57" s="1072">
        <f t="shared" si="2"/>
        <v>5.299999999999994</v>
      </c>
      <c r="B57" s="838" t="s">
        <v>1138</v>
      </c>
      <c r="C57" s="1041">
        <v>0</v>
      </c>
      <c r="D57" s="1041">
        <v>0</v>
      </c>
      <c r="E57" s="1041"/>
      <c r="F57" s="1041"/>
      <c r="G57" s="1041">
        <f t="shared" si="3"/>
        <v>0</v>
      </c>
      <c r="H57" s="1041"/>
      <c r="I57" s="1041">
        <v>0</v>
      </c>
      <c r="J57" s="1041">
        <v>0</v>
      </c>
      <c r="K57" s="1041">
        <v>0</v>
      </c>
      <c r="L57" s="1041">
        <v>0</v>
      </c>
      <c r="M57" s="1041">
        <v>0</v>
      </c>
      <c r="N57" s="1041"/>
      <c r="O57" s="838">
        <v>0</v>
      </c>
      <c r="P57" s="838">
        <v>0</v>
      </c>
      <c r="Q57" s="838">
        <v>0</v>
      </c>
      <c r="R57" s="838">
        <v>0</v>
      </c>
      <c r="S57" s="838">
        <v>0</v>
      </c>
      <c r="T57" s="1041"/>
      <c r="U57" s="838">
        <v>0</v>
      </c>
      <c r="V57" s="838">
        <v>0</v>
      </c>
      <c r="W57" s="838">
        <v>0</v>
      </c>
      <c r="X57" s="838">
        <v>0</v>
      </c>
      <c r="Y57">
        <v>0</v>
      </c>
    </row>
    <row r="58" spans="1:25" ht="12.75">
      <c r="A58" s="1072">
        <f t="shared" si="2"/>
        <v>5.309999999999993</v>
      </c>
      <c r="B58" s="838" t="s">
        <v>1139</v>
      </c>
      <c r="C58" s="1041">
        <v>-0.049999999999272404</v>
      </c>
      <c r="D58" s="1041">
        <v>-0.049999999999272404</v>
      </c>
      <c r="E58" s="1041"/>
      <c r="F58" s="1041"/>
      <c r="G58" s="1041">
        <f>ROUND(SUM(C58:F58)/2,0)</f>
        <v>0</v>
      </c>
      <c r="H58" s="1041"/>
      <c r="I58" s="1041">
        <v>0</v>
      </c>
      <c r="J58" s="1041">
        <v>0</v>
      </c>
      <c r="K58" s="1041">
        <v>-0.049999999999272404</v>
      </c>
      <c r="L58" s="1041">
        <v>0</v>
      </c>
      <c r="M58" s="1041">
        <v>0</v>
      </c>
      <c r="N58" s="1041"/>
      <c r="O58" s="838">
        <v>0</v>
      </c>
      <c r="P58" s="838">
        <v>0</v>
      </c>
      <c r="Q58" s="838">
        <v>-0.049999999999272404</v>
      </c>
      <c r="R58" s="838">
        <v>0</v>
      </c>
      <c r="S58" s="838">
        <v>0</v>
      </c>
      <c r="T58" s="1041"/>
      <c r="U58" s="838">
        <v>0</v>
      </c>
      <c r="V58" s="838">
        <v>0</v>
      </c>
      <c r="W58" s="838">
        <v>-0.049999999999272404</v>
      </c>
      <c r="X58" s="838">
        <v>0</v>
      </c>
      <c r="Y58">
        <v>0</v>
      </c>
    </row>
    <row r="59" spans="1:25" ht="12.75">
      <c r="A59" s="1072">
        <f t="shared" si="2"/>
        <v>5.319999999999993</v>
      </c>
      <c r="B59" s="838" t="s">
        <v>1140</v>
      </c>
      <c r="C59" s="1041">
        <v>0</v>
      </c>
      <c r="D59" s="1041">
        <v>0</v>
      </c>
      <c r="E59" s="1041"/>
      <c r="F59" s="1041"/>
      <c r="G59" s="1041">
        <f t="shared" si="3"/>
        <v>0</v>
      </c>
      <c r="H59" s="1041"/>
      <c r="I59" s="1041">
        <v>0</v>
      </c>
      <c r="J59" s="1041">
        <v>0</v>
      </c>
      <c r="K59" s="1041">
        <v>0</v>
      </c>
      <c r="L59" s="1041">
        <v>0</v>
      </c>
      <c r="M59" s="1041">
        <v>0</v>
      </c>
      <c r="N59" s="1041"/>
      <c r="O59" s="838">
        <v>0</v>
      </c>
      <c r="P59" s="838">
        <v>0</v>
      </c>
      <c r="Q59" s="838">
        <v>0</v>
      </c>
      <c r="R59" s="838">
        <v>0</v>
      </c>
      <c r="S59" s="838">
        <v>0</v>
      </c>
      <c r="T59" s="1041"/>
      <c r="U59" s="838">
        <v>0</v>
      </c>
      <c r="V59" s="838">
        <v>0</v>
      </c>
      <c r="W59" s="838">
        <v>0</v>
      </c>
      <c r="X59" s="838">
        <v>0</v>
      </c>
      <c r="Y59">
        <v>0</v>
      </c>
    </row>
    <row r="60" spans="1:25" ht="12.75">
      <c r="A60" s="1072">
        <f t="shared" si="2"/>
        <v>5.329999999999993</v>
      </c>
      <c r="B60" s="838" t="s">
        <v>1141</v>
      </c>
      <c r="C60" s="1041">
        <v>0</v>
      </c>
      <c r="D60" s="1041">
        <v>0</v>
      </c>
      <c r="E60" s="1041"/>
      <c r="F60" s="1041"/>
      <c r="G60" s="1041">
        <f t="shared" si="3"/>
        <v>0</v>
      </c>
      <c r="H60" s="1041"/>
      <c r="I60" s="1041">
        <v>0</v>
      </c>
      <c r="J60" s="1041">
        <v>0</v>
      </c>
      <c r="K60" s="1041">
        <v>0</v>
      </c>
      <c r="L60" s="1041">
        <v>0</v>
      </c>
      <c r="M60" s="1041">
        <v>0</v>
      </c>
      <c r="N60" s="1041"/>
      <c r="O60" s="838">
        <v>0</v>
      </c>
      <c r="P60" s="838">
        <v>0</v>
      </c>
      <c r="Q60" s="838">
        <v>0</v>
      </c>
      <c r="R60" s="838">
        <v>0</v>
      </c>
      <c r="S60" s="838">
        <v>0</v>
      </c>
      <c r="T60" s="1041"/>
      <c r="U60" s="838">
        <v>0</v>
      </c>
      <c r="V60" s="838">
        <v>0</v>
      </c>
      <c r="W60" s="838">
        <v>0</v>
      </c>
      <c r="X60" s="838">
        <v>0</v>
      </c>
      <c r="Y60">
        <v>0</v>
      </c>
    </row>
    <row r="61" spans="1:25" ht="12.75">
      <c r="A61" s="1072">
        <f t="shared" si="2"/>
        <v>5.339999999999993</v>
      </c>
      <c r="B61" s="838" t="s">
        <v>1142</v>
      </c>
      <c r="C61" s="1438">
        <v>0</v>
      </c>
      <c r="D61" s="1438">
        <v>0</v>
      </c>
      <c r="E61" s="1438"/>
      <c r="F61" s="1438"/>
      <c r="G61" s="1438">
        <f>ROUND(SUM(C61:F61)/2,0)</f>
        <v>0</v>
      </c>
      <c r="H61" s="1438"/>
      <c r="I61" s="1438">
        <v>0</v>
      </c>
      <c r="J61" s="1438">
        <v>0</v>
      </c>
      <c r="K61" s="1438">
        <v>0</v>
      </c>
      <c r="L61" s="1438">
        <v>0</v>
      </c>
      <c r="M61" s="1438">
        <v>0</v>
      </c>
      <c r="N61" s="1438"/>
      <c r="O61" s="1439">
        <v>0</v>
      </c>
      <c r="P61" s="1439">
        <v>0</v>
      </c>
      <c r="Q61" s="1439">
        <v>0</v>
      </c>
      <c r="R61" s="1439">
        <v>0</v>
      </c>
      <c r="S61" s="1439">
        <v>0</v>
      </c>
      <c r="T61" s="1438"/>
      <c r="U61" s="1439">
        <v>0</v>
      </c>
      <c r="V61" s="1439">
        <v>0</v>
      </c>
      <c r="W61" s="1439">
        <v>0</v>
      </c>
      <c r="X61" s="1439">
        <v>0</v>
      </c>
      <c r="Y61">
        <v>0</v>
      </c>
    </row>
    <row r="62" spans="1:25" ht="12.75">
      <c r="A62" s="1072">
        <f t="shared" si="2"/>
        <v>5.3499999999999925</v>
      </c>
      <c r="B62" s="838" t="s">
        <v>1143</v>
      </c>
      <c r="C62" s="1438">
        <v>0</v>
      </c>
      <c r="D62" s="1438">
        <v>0</v>
      </c>
      <c r="E62" s="1438"/>
      <c r="F62" s="1438"/>
      <c r="G62" s="1438">
        <f t="shared" si="3"/>
        <v>0</v>
      </c>
      <c r="H62" s="1438"/>
      <c r="I62" s="1438">
        <v>0</v>
      </c>
      <c r="J62" s="1438">
        <v>0</v>
      </c>
      <c r="K62" s="1438">
        <v>0</v>
      </c>
      <c r="L62" s="1438">
        <v>0</v>
      </c>
      <c r="M62" s="1438">
        <v>0</v>
      </c>
      <c r="N62" s="1438"/>
      <c r="O62" s="1439">
        <v>0</v>
      </c>
      <c r="P62" s="1439">
        <v>0</v>
      </c>
      <c r="Q62" s="1439">
        <v>0</v>
      </c>
      <c r="R62" s="1439">
        <v>0</v>
      </c>
      <c r="S62" s="1439">
        <v>0</v>
      </c>
      <c r="T62" s="1438"/>
      <c r="U62" s="1439">
        <v>0</v>
      </c>
      <c r="V62" s="1439">
        <v>0</v>
      </c>
      <c r="W62" s="1439">
        <v>0</v>
      </c>
      <c r="X62" s="1439">
        <v>0</v>
      </c>
      <c r="Y62">
        <v>0</v>
      </c>
    </row>
    <row r="63" spans="1:25" ht="12.75">
      <c r="A63" s="1072">
        <f t="shared" si="2"/>
        <v>5.359999999999992</v>
      </c>
      <c r="B63" s="838" t="s">
        <v>1144</v>
      </c>
      <c r="C63" s="1041">
        <v>0</v>
      </c>
      <c r="D63" s="1041">
        <v>0</v>
      </c>
      <c r="E63" s="1041"/>
      <c r="F63" s="1041"/>
      <c r="G63" s="1041">
        <f t="shared" si="3"/>
        <v>0</v>
      </c>
      <c r="H63" s="1041"/>
      <c r="I63" s="1041">
        <v>0</v>
      </c>
      <c r="J63" s="1041">
        <v>0</v>
      </c>
      <c r="K63" s="1041">
        <v>0</v>
      </c>
      <c r="L63" s="1041">
        <v>0</v>
      </c>
      <c r="M63" s="1041">
        <v>0</v>
      </c>
      <c r="N63" s="1041"/>
      <c r="O63" s="838">
        <v>0</v>
      </c>
      <c r="P63" s="838">
        <v>0</v>
      </c>
      <c r="Q63" s="838">
        <v>0</v>
      </c>
      <c r="R63" s="838">
        <v>0</v>
      </c>
      <c r="S63" s="838">
        <v>0</v>
      </c>
      <c r="T63" s="1041"/>
      <c r="U63" s="838">
        <v>0</v>
      </c>
      <c r="V63" s="838">
        <v>0</v>
      </c>
      <c r="W63" s="838">
        <v>0</v>
      </c>
      <c r="X63" s="838">
        <v>0</v>
      </c>
      <c r="Y63">
        <v>0</v>
      </c>
    </row>
    <row r="64" spans="1:25" ht="12.75">
      <c r="A64" s="1072">
        <f t="shared" si="2"/>
        <v>5.369999999999992</v>
      </c>
      <c r="B64" s="838" t="s">
        <v>1145</v>
      </c>
      <c r="C64" s="1041">
        <v>0</v>
      </c>
      <c r="D64" s="1041">
        <v>0</v>
      </c>
      <c r="E64" s="1041"/>
      <c r="F64" s="1041"/>
      <c r="G64" s="1041">
        <f t="shared" si="3"/>
        <v>0</v>
      </c>
      <c r="H64" s="1041"/>
      <c r="I64" s="1041">
        <v>0</v>
      </c>
      <c r="J64" s="1041">
        <v>0</v>
      </c>
      <c r="K64" s="1041">
        <v>0</v>
      </c>
      <c r="L64" s="1041">
        <v>0</v>
      </c>
      <c r="M64" s="1041">
        <v>0</v>
      </c>
      <c r="N64" s="1041"/>
      <c r="O64" s="838">
        <v>0</v>
      </c>
      <c r="P64" s="838">
        <v>0</v>
      </c>
      <c r="Q64" s="838">
        <v>0</v>
      </c>
      <c r="R64" s="838">
        <v>0</v>
      </c>
      <c r="S64" s="838">
        <v>0</v>
      </c>
      <c r="T64" s="1041"/>
      <c r="U64" s="838">
        <v>0</v>
      </c>
      <c r="V64" s="838">
        <v>0</v>
      </c>
      <c r="W64" s="838">
        <v>0</v>
      </c>
      <c r="X64" s="838">
        <v>0</v>
      </c>
      <c r="Y64">
        <v>0</v>
      </c>
    </row>
    <row r="65" spans="1:25" ht="12.75">
      <c r="A65" s="1072">
        <f t="shared" si="2"/>
        <v>5.379999999999992</v>
      </c>
      <c r="B65" s="838" t="s">
        <v>1146</v>
      </c>
      <c r="C65" s="1041">
        <v>0</v>
      </c>
      <c r="D65" s="1041">
        <v>0</v>
      </c>
      <c r="E65" s="1041"/>
      <c r="F65" s="1041"/>
      <c r="G65" s="1041">
        <f>ROUND(SUM(C65:F65)/2,0)</f>
        <v>0</v>
      </c>
      <c r="H65" s="1041"/>
      <c r="I65" s="1041">
        <v>0</v>
      </c>
      <c r="J65" s="1041">
        <v>0</v>
      </c>
      <c r="K65" s="1041">
        <v>0</v>
      </c>
      <c r="L65" s="1041">
        <v>0</v>
      </c>
      <c r="M65" s="1041">
        <v>0</v>
      </c>
      <c r="N65" s="1041"/>
      <c r="O65" s="838">
        <v>0</v>
      </c>
      <c r="P65" s="838">
        <v>0</v>
      </c>
      <c r="Q65" s="838">
        <v>0</v>
      </c>
      <c r="R65" s="838">
        <v>0</v>
      </c>
      <c r="S65" s="838">
        <v>0</v>
      </c>
      <c r="T65" s="1041"/>
      <c r="U65" s="838">
        <v>0</v>
      </c>
      <c r="V65" s="838">
        <v>0</v>
      </c>
      <c r="W65" s="838">
        <v>0</v>
      </c>
      <c r="X65" s="838">
        <v>0</v>
      </c>
      <c r="Y65">
        <v>0</v>
      </c>
    </row>
    <row r="66" spans="1:25" ht="12.75">
      <c r="A66" s="1072">
        <f t="shared" si="2"/>
        <v>5.389999999999992</v>
      </c>
      <c r="B66" s="838" t="s">
        <v>1147</v>
      </c>
      <c r="C66" s="838">
        <v>0</v>
      </c>
      <c r="D66" s="838">
        <v>0</v>
      </c>
      <c r="E66" s="1041"/>
      <c r="F66" s="1041"/>
      <c r="G66" s="1041">
        <f t="shared" si="3"/>
        <v>0</v>
      </c>
      <c r="H66" s="1041"/>
      <c r="I66" s="1041">
        <v>0</v>
      </c>
      <c r="J66" s="1041">
        <v>0</v>
      </c>
      <c r="K66" s="1041">
        <v>0</v>
      </c>
      <c r="L66" s="1041">
        <v>0</v>
      </c>
      <c r="M66" s="1041">
        <v>0</v>
      </c>
      <c r="N66" s="1041"/>
      <c r="O66" s="1041">
        <v>0</v>
      </c>
      <c r="P66" s="1041">
        <v>0</v>
      </c>
      <c r="Q66" s="1041">
        <v>0</v>
      </c>
      <c r="R66" s="1041">
        <v>0</v>
      </c>
      <c r="S66" s="1041">
        <v>0</v>
      </c>
      <c r="T66" s="1041"/>
      <c r="U66" s="1041">
        <v>0</v>
      </c>
      <c r="V66" s="1041">
        <v>0</v>
      </c>
      <c r="W66" s="1041">
        <v>0</v>
      </c>
      <c r="X66" s="1041">
        <v>0</v>
      </c>
      <c r="Y66">
        <v>0</v>
      </c>
    </row>
    <row r="67" spans="1:25" ht="15" customHeight="1">
      <c r="A67" s="1072">
        <f t="shared" si="2"/>
        <v>5.3999999999999915</v>
      </c>
      <c r="B67" s="838" t="s">
        <v>1148</v>
      </c>
      <c r="C67" s="838">
        <v>0</v>
      </c>
      <c r="D67" s="838">
        <v>0</v>
      </c>
      <c r="E67" s="1041"/>
      <c r="F67" s="1041"/>
      <c r="G67" s="1041">
        <f t="shared" si="3"/>
        <v>0</v>
      </c>
      <c r="H67" s="1041"/>
      <c r="I67" s="1041">
        <v>0</v>
      </c>
      <c r="J67" s="1041">
        <v>0</v>
      </c>
      <c r="K67" s="1041">
        <v>0</v>
      </c>
      <c r="L67" s="1041">
        <v>0</v>
      </c>
      <c r="M67" s="1041">
        <v>0</v>
      </c>
      <c r="N67" s="1041"/>
      <c r="O67" s="1041">
        <v>0</v>
      </c>
      <c r="P67" s="1041">
        <v>0</v>
      </c>
      <c r="Q67" s="1041">
        <v>0</v>
      </c>
      <c r="R67" s="1041">
        <v>0</v>
      </c>
      <c r="S67" s="1041">
        <v>0</v>
      </c>
      <c r="T67" s="1041"/>
      <c r="U67" s="1041">
        <v>0</v>
      </c>
      <c r="V67" s="1041">
        <v>0</v>
      </c>
      <c r="W67" s="1041">
        <v>0</v>
      </c>
      <c r="X67" s="1041">
        <v>0</v>
      </c>
      <c r="Y67">
        <v>0</v>
      </c>
    </row>
    <row r="68" spans="1:25" ht="15" customHeight="1">
      <c r="A68" s="1072">
        <f t="shared" si="2"/>
        <v>5.409999999999991</v>
      </c>
      <c r="B68" s="838" t="s">
        <v>1149</v>
      </c>
      <c r="C68" s="838">
        <v>2032.1</v>
      </c>
      <c r="D68" s="838">
        <v>0</v>
      </c>
      <c r="E68" s="1041"/>
      <c r="F68" s="1041"/>
      <c r="G68" s="1041">
        <f t="shared" si="3"/>
        <v>1016</v>
      </c>
      <c r="H68" s="1041"/>
      <c r="I68" s="1041">
        <v>0</v>
      </c>
      <c r="J68" s="1041">
        <v>0</v>
      </c>
      <c r="K68" s="1041">
        <v>1016.05</v>
      </c>
      <c r="L68" s="1041">
        <v>0</v>
      </c>
      <c r="M68" s="1041">
        <v>0</v>
      </c>
      <c r="N68" s="1041"/>
      <c r="O68" s="1041">
        <v>0</v>
      </c>
      <c r="P68" s="1041">
        <v>0</v>
      </c>
      <c r="Q68" s="1041">
        <v>2032.1</v>
      </c>
      <c r="R68" s="1041">
        <v>0</v>
      </c>
      <c r="S68" s="1041">
        <v>0</v>
      </c>
      <c r="T68" s="1041"/>
      <c r="U68" s="1041">
        <v>0</v>
      </c>
      <c r="V68" s="1041">
        <v>0</v>
      </c>
      <c r="W68" s="1041">
        <v>0</v>
      </c>
      <c r="X68" s="1041">
        <v>0</v>
      </c>
      <c r="Y68">
        <v>0</v>
      </c>
    </row>
    <row r="69" spans="1:25" ht="15" customHeight="1">
      <c r="A69" s="1072">
        <f t="shared" si="2"/>
        <v>5.419999999999991</v>
      </c>
      <c r="B69" s="838" t="s">
        <v>1150</v>
      </c>
      <c r="C69" s="838">
        <v>33578</v>
      </c>
      <c r="D69" s="838">
        <v>20147</v>
      </c>
      <c r="E69" s="1041"/>
      <c r="F69" s="1041"/>
      <c r="G69" s="1041">
        <f t="shared" si="3"/>
        <v>26863</v>
      </c>
      <c r="H69" s="1041"/>
      <c r="I69" s="1041">
        <v>26862.5</v>
      </c>
      <c r="J69" s="1041">
        <v>0</v>
      </c>
      <c r="K69" s="1041">
        <v>0</v>
      </c>
      <c r="L69" s="1041">
        <v>0</v>
      </c>
      <c r="M69" s="1041">
        <v>0</v>
      </c>
      <c r="N69" s="1041"/>
      <c r="O69" s="1041">
        <v>33578</v>
      </c>
      <c r="P69" s="1041">
        <v>0</v>
      </c>
      <c r="Q69" s="1041">
        <v>0</v>
      </c>
      <c r="R69" s="1041">
        <v>0</v>
      </c>
      <c r="S69" s="1041">
        <v>0</v>
      </c>
      <c r="T69" s="1041"/>
      <c r="U69" s="1041">
        <v>20147</v>
      </c>
      <c r="V69" s="1041">
        <v>0</v>
      </c>
      <c r="W69" s="1041">
        <v>0</v>
      </c>
      <c r="X69" s="1041">
        <v>0</v>
      </c>
      <c r="Y69">
        <v>0</v>
      </c>
    </row>
    <row r="70" spans="1:25" ht="15" customHeight="1">
      <c r="A70" s="1072">
        <f t="shared" si="2"/>
        <v>5.429999999999991</v>
      </c>
      <c r="B70" s="838" t="s">
        <v>1151</v>
      </c>
      <c r="C70" s="838">
        <v>15229237.6</v>
      </c>
      <c r="D70" s="838">
        <v>13913916.6</v>
      </c>
      <c r="E70" s="1041"/>
      <c r="F70" s="1041"/>
      <c r="G70" s="1041">
        <f t="shared" si="3"/>
        <v>14571577</v>
      </c>
      <c r="H70" s="1041"/>
      <c r="I70" s="1041">
        <v>4625343.6</v>
      </c>
      <c r="J70" s="1041">
        <v>354639.5</v>
      </c>
      <c r="K70" s="1041">
        <v>1631298.25</v>
      </c>
      <c r="L70" s="1041">
        <v>7960295.75</v>
      </c>
      <c r="M70" s="1041">
        <v>0</v>
      </c>
      <c r="N70" s="1041"/>
      <c r="O70" s="1041">
        <v>4788361.1</v>
      </c>
      <c r="P70" s="1041">
        <v>391650</v>
      </c>
      <c r="Q70" s="1041">
        <v>1741942.75</v>
      </c>
      <c r="R70" s="1041">
        <v>8307283.75</v>
      </c>
      <c r="S70" s="1041">
        <v>0</v>
      </c>
      <c r="T70" s="1041"/>
      <c r="U70" s="1041">
        <v>4462326.1</v>
      </c>
      <c r="V70" s="1041">
        <v>317629</v>
      </c>
      <c r="W70" s="1041">
        <v>1520653.75</v>
      </c>
      <c r="X70" s="1041">
        <v>7613307.75</v>
      </c>
      <c r="Y70">
        <v>0</v>
      </c>
    </row>
    <row r="71" spans="1:25" ht="15" customHeight="1">
      <c r="A71" s="1072">
        <f t="shared" si="2"/>
        <v>5.439999999999991</v>
      </c>
      <c r="B71" s="838" t="s">
        <v>1152</v>
      </c>
      <c r="C71" s="838">
        <v>121546534.55</v>
      </c>
      <c r="D71" s="838">
        <v>137361996.1</v>
      </c>
      <c r="E71" s="1041"/>
      <c r="F71" s="1041"/>
      <c r="G71" s="1041">
        <f t="shared" si="3"/>
        <v>129454265</v>
      </c>
      <c r="H71" s="1041"/>
      <c r="I71" s="1041">
        <v>14334452.125</v>
      </c>
      <c r="J71" s="1041">
        <v>110876063.19999999</v>
      </c>
      <c r="K71" s="1041">
        <v>614250</v>
      </c>
      <c r="L71" s="1041">
        <v>3629500</v>
      </c>
      <c r="M71" s="1041">
        <v>0</v>
      </c>
      <c r="N71" s="1041"/>
      <c r="O71" s="1041">
        <v>12010805.45</v>
      </c>
      <c r="P71" s="1041">
        <v>109535729.1</v>
      </c>
      <c r="Q71" s="1041">
        <v>0</v>
      </c>
      <c r="R71" s="1041">
        <v>0</v>
      </c>
      <c r="S71" s="1041">
        <v>0</v>
      </c>
      <c r="T71" s="1041"/>
      <c r="U71" s="1041">
        <v>16658098.8</v>
      </c>
      <c r="V71" s="1041">
        <v>112216397.3</v>
      </c>
      <c r="W71" s="1041">
        <v>1228500</v>
      </c>
      <c r="X71" s="1041">
        <v>7259000</v>
      </c>
      <c r="Y71">
        <v>0</v>
      </c>
    </row>
    <row r="72" spans="1:25" ht="15" customHeight="1">
      <c r="A72" s="1072">
        <f t="shared" si="2"/>
        <v>5.44999999999999</v>
      </c>
      <c r="B72" s="838" t="s">
        <v>1153</v>
      </c>
      <c r="C72" s="838">
        <v>33685908.2</v>
      </c>
      <c r="D72" s="838">
        <v>71944449.85</v>
      </c>
      <c r="E72" s="1041"/>
      <c r="F72" s="1041"/>
      <c r="G72" s="1041">
        <f t="shared" si="3"/>
        <v>52815179</v>
      </c>
      <c r="H72" s="1041"/>
      <c r="I72" s="1041">
        <v>6329169.35</v>
      </c>
      <c r="J72" s="1041">
        <v>27244234.675</v>
      </c>
      <c r="K72" s="1041">
        <v>6076175</v>
      </c>
      <c r="L72" s="1041">
        <v>13165600</v>
      </c>
      <c r="M72" s="1041">
        <v>0</v>
      </c>
      <c r="N72" s="1041"/>
      <c r="O72" s="1041">
        <v>6450369.1</v>
      </c>
      <c r="P72" s="1041">
        <v>27235539.1</v>
      </c>
      <c r="Q72" s="1041">
        <v>0</v>
      </c>
      <c r="R72" s="1041">
        <v>0</v>
      </c>
      <c r="S72" s="1041">
        <v>0</v>
      </c>
      <c r="T72" s="1041"/>
      <c r="U72" s="1041">
        <v>6207969.6</v>
      </c>
      <c r="V72" s="1041">
        <v>27252930.25</v>
      </c>
      <c r="W72" s="1041">
        <v>12152350</v>
      </c>
      <c r="X72" s="1041">
        <v>26331200</v>
      </c>
      <c r="Y72">
        <v>0</v>
      </c>
    </row>
    <row r="73" spans="1:25" ht="15" customHeight="1">
      <c r="A73" s="1072">
        <f t="shared" si="2"/>
        <v>5.45999999999999</v>
      </c>
      <c r="B73" s="838" t="s">
        <v>1154</v>
      </c>
      <c r="C73" s="838">
        <v>0</v>
      </c>
      <c r="D73" s="838">
        <v>3929452.0999999996</v>
      </c>
      <c r="E73" s="1041"/>
      <c r="F73" s="1041"/>
      <c r="G73" s="1041">
        <f t="shared" si="3"/>
        <v>1964726</v>
      </c>
      <c r="H73" s="1041"/>
      <c r="I73" s="1041">
        <v>215364.275</v>
      </c>
      <c r="J73" s="1041">
        <v>1019207.7</v>
      </c>
      <c r="K73" s="1041">
        <v>173711.475</v>
      </c>
      <c r="L73" s="1041">
        <v>556442.6</v>
      </c>
      <c r="M73" s="1041">
        <v>0</v>
      </c>
      <c r="N73" s="1041"/>
      <c r="O73" s="1041">
        <v>0</v>
      </c>
      <c r="P73" s="1041">
        <v>0</v>
      </c>
      <c r="Q73" s="1041">
        <v>0</v>
      </c>
      <c r="R73" s="1041">
        <v>0</v>
      </c>
      <c r="S73" s="1041">
        <v>0</v>
      </c>
      <c r="T73" s="1041"/>
      <c r="U73" s="1041">
        <v>430728.55</v>
      </c>
      <c r="V73" s="1041">
        <v>2038415.4</v>
      </c>
      <c r="W73" s="1041">
        <v>347422.95</v>
      </c>
      <c r="X73" s="1041">
        <v>1112885.2</v>
      </c>
      <c r="Y73">
        <v>0</v>
      </c>
    </row>
    <row r="74" spans="1:25" ht="15" customHeight="1">
      <c r="A74" s="1072">
        <f t="shared" si="2"/>
        <v>5.46999999999999</v>
      </c>
      <c r="B74" s="838" t="s">
        <v>1155</v>
      </c>
      <c r="C74" s="838">
        <v>9818794</v>
      </c>
      <c r="D74" s="838">
        <v>10485074.700000001</v>
      </c>
      <c r="E74" s="1041"/>
      <c r="F74" s="1041"/>
      <c r="G74" s="1041">
        <f t="shared" si="3"/>
        <v>10151934</v>
      </c>
      <c r="H74" s="1041"/>
      <c r="I74" s="1041">
        <v>0</v>
      </c>
      <c r="J74" s="1041">
        <v>0</v>
      </c>
      <c r="K74" s="1041">
        <v>394706.2</v>
      </c>
      <c r="L74" s="1041">
        <v>9757228.15</v>
      </c>
      <c r="M74" s="1041">
        <v>0</v>
      </c>
      <c r="N74" s="1041"/>
      <c r="O74" s="1041">
        <v>0</v>
      </c>
      <c r="P74" s="1041">
        <v>0</v>
      </c>
      <c r="Q74" s="1041">
        <v>355550.85</v>
      </c>
      <c r="R74" s="1041">
        <v>9463243.15</v>
      </c>
      <c r="S74" s="1041">
        <v>0</v>
      </c>
      <c r="T74" s="1041"/>
      <c r="U74" s="1041">
        <v>0</v>
      </c>
      <c r="V74" s="1041">
        <v>0</v>
      </c>
      <c r="W74" s="1041">
        <v>433861.55000000005</v>
      </c>
      <c r="X74" s="1041">
        <v>10051213.15</v>
      </c>
      <c r="Y74">
        <v>0</v>
      </c>
    </row>
    <row r="75" spans="1:25" ht="15" customHeight="1">
      <c r="A75" s="1072">
        <f t="shared" si="2"/>
        <v>5.47999999999999</v>
      </c>
      <c r="B75" s="838" t="s">
        <v>1156</v>
      </c>
      <c r="C75" s="838">
        <v>381115</v>
      </c>
      <c r="D75" s="838">
        <v>381115</v>
      </c>
      <c r="E75" s="1041"/>
      <c r="F75" s="1041"/>
      <c r="G75" s="1041">
        <f t="shared" si="3"/>
        <v>381115</v>
      </c>
      <c r="H75" s="1041"/>
      <c r="I75" s="1041">
        <v>381115</v>
      </c>
      <c r="J75" s="1041">
        <v>0</v>
      </c>
      <c r="K75" s="1041">
        <v>0</v>
      </c>
      <c r="L75" s="1041">
        <v>0</v>
      </c>
      <c r="M75" s="1041">
        <v>0</v>
      </c>
      <c r="N75" s="1041"/>
      <c r="O75" s="1041">
        <v>381115</v>
      </c>
      <c r="P75" s="1041">
        <v>0</v>
      </c>
      <c r="Q75" s="1041">
        <v>0</v>
      </c>
      <c r="R75" s="1041">
        <v>0</v>
      </c>
      <c r="S75" s="1041">
        <v>0</v>
      </c>
      <c r="T75" s="1041"/>
      <c r="U75" s="1041">
        <v>381115</v>
      </c>
      <c r="V75" s="1041">
        <v>0</v>
      </c>
      <c r="W75" s="1041">
        <v>0</v>
      </c>
      <c r="X75" s="1041">
        <v>0</v>
      </c>
      <c r="Y75">
        <v>0</v>
      </c>
    </row>
    <row r="76" spans="1:25" ht="15" customHeight="1">
      <c r="A76" s="1072">
        <f t="shared" si="2"/>
        <v>5.4899999999999896</v>
      </c>
      <c r="B76" s="838" t="s">
        <v>1157</v>
      </c>
      <c r="C76" s="838">
        <v>31632</v>
      </c>
      <c r="D76" s="838">
        <v>31632</v>
      </c>
      <c r="E76" s="1041"/>
      <c r="F76" s="1041"/>
      <c r="G76" s="1041">
        <f t="shared" si="3"/>
        <v>31632</v>
      </c>
      <c r="H76" s="1041"/>
      <c r="I76" s="1041">
        <v>31632</v>
      </c>
      <c r="J76" s="1041">
        <v>0</v>
      </c>
      <c r="K76" s="1041">
        <v>0</v>
      </c>
      <c r="L76" s="1041">
        <v>0</v>
      </c>
      <c r="M76" s="1041">
        <v>0</v>
      </c>
      <c r="N76" s="1041"/>
      <c r="O76" s="1041">
        <v>31632</v>
      </c>
      <c r="P76" s="1041">
        <v>0</v>
      </c>
      <c r="Q76" s="1041">
        <v>0</v>
      </c>
      <c r="R76" s="1041">
        <v>0</v>
      </c>
      <c r="S76" s="1041">
        <v>0</v>
      </c>
      <c r="T76" s="1041"/>
      <c r="U76" s="1041">
        <v>31632</v>
      </c>
      <c r="V76" s="1041">
        <v>0</v>
      </c>
      <c r="W76" s="1041">
        <v>0</v>
      </c>
      <c r="X76" s="1041">
        <v>0</v>
      </c>
      <c r="Y76">
        <v>0</v>
      </c>
    </row>
    <row r="77" spans="1:25" ht="15" customHeight="1">
      <c r="A77" s="1072">
        <f t="shared" si="2"/>
        <v>5.499999999999989</v>
      </c>
      <c r="B77" s="838" t="s">
        <v>1158</v>
      </c>
      <c r="C77" s="838">
        <v>0</v>
      </c>
      <c r="D77" s="838">
        <v>0</v>
      </c>
      <c r="E77" s="1041"/>
      <c r="F77" s="1041"/>
      <c r="G77" s="1041">
        <f t="shared" si="3"/>
        <v>0</v>
      </c>
      <c r="H77" s="1041"/>
      <c r="I77" s="1041">
        <v>0</v>
      </c>
      <c r="J77" s="1041">
        <v>0</v>
      </c>
      <c r="K77" s="1041">
        <v>0</v>
      </c>
      <c r="L77" s="1041">
        <v>0</v>
      </c>
      <c r="M77" s="1041">
        <v>0</v>
      </c>
      <c r="N77" s="1041"/>
      <c r="O77" s="1041">
        <v>0</v>
      </c>
      <c r="P77" s="1041">
        <v>0</v>
      </c>
      <c r="Q77" s="1041">
        <v>0</v>
      </c>
      <c r="R77" s="1041">
        <v>0</v>
      </c>
      <c r="S77" s="1041">
        <v>0</v>
      </c>
      <c r="T77" s="1041"/>
      <c r="U77" s="1041">
        <v>0</v>
      </c>
      <c r="V77" s="1041">
        <v>0</v>
      </c>
      <c r="W77" s="1041">
        <v>0</v>
      </c>
      <c r="X77" s="1041">
        <v>0</v>
      </c>
      <c r="Y77">
        <v>0</v>
      </c>
    </row>
    <row r="78" spans="1:25" ht="15" customHeight="1">
      <c r="A78" s="1072">
        <f t="shared" si="2"/>
        <v>5.509999999999989</v>
      </c>
      <c r="B78" s="838" t="s">
        <v>1159</v>
      </c>
      <c r="C78" s="838">
        <v>0.15000000002328306</v>
      </c>
      <c r="D78" s="838">
        <v>0.15000000002328306</v>
      </c>
      <c r="E78" s="1041"/>
      <c r="F78" s="1041"/>
      <c r="G78" s="1041">
        <f t="shared" si="3"/>
        <v>0</v>
      </c>
      <c r="H78" s="1041"/>
      <c r="I78" s="1041">
        <v>0</v>
      </c>
      <c r="J78" s="1041">
        <v>0</v>
      </c>
      <c r="K78" s="1041">
        <v>0.15000000002328306</v>
      </c>
      <c r="L78" s="1041">
        <v>0</v>
      </c>
      <c r="M78" s="1041">
        <v>0</v>
      </c>
      <c r="N78" s="1041"/>
      <c r="O78" s="1041">
        <v>0</v>
      </c>
      <c r="P78" s="1041">
        <v>0</v>
      </c>
      <c r="Q78" s="1041">
        <v>0.15000000002328306</v>
      </c>
      <c r="R78" s="1041">
        <v>0</v>
      </c>
      <c r="S78" s="1041">
        <v>0</v>
      </c>
      <c r="T78" s="1041"/>
      <c r="U78" s="1041">
        <v>0</v>
      </c>
      <c r="V78" s="1041">
        <v>0</v>
      </c>
      <c r="W78" s="1041">
        <v>0.15000000002328306</v>
      </c>
      <c r="X78" s="1041">
        <v>0</v>
      </c>
      <c r="Y78">
        <v>0</v>
      </c>
    </row>
    <row r="79" spans="1:25" ht="15" customHeight="1">
      <c r="A79" s="1072">
        <f t="shared" si="2"/>
        <v>5.519999999999989</v>
      </c>
      <c r="B79" s="838" t="s">
        <v>1160</v>
      </c>
      <c r="C79" s="838">
        <v>0</v>
      </c>
      <c r="D79" s="838">
        <v>0</v>
      </c>
      <c r="E79" s="1041"/>
      <c r="F79" s="1041"/>
      <c r="G79" s="1041">
        <f t="shared" si="3"/>
        <v>0</v>
      </c>
      <c r="H79" s="1041"/>
      <c r="I79" s="1041">
        <v>0</v>
      </c>
      <c r="J79" s="1041">
        <v>0</v>
      </c>
      <c r="K79" s="1041">
        <v>0</v>
      </c>
      <c r="L79" s="1041">
        <v>0</v>
      </c>
      <c r="M79" s="1041">
        <v>0</v>
      </c>
      <c r="N79" s="1041"/>
      <c r="O79" s="1041">
        <v>0</v>
      </c>
      <c r="P79" s="1041">
        <v>0</v>
      </c>
      <c r="Q79" s="1041">
        <v>0</v>
      </c>
      <c r="R79" s="1041">
        <v>0</v>
      </c>
      <c r="S79" s="1041">
        <v>0</v>
      </c>
      <c r="T79" s="1041"/>
      <c r="U79" s="1041">
        <v>0</v>
      </c>
      <c r="V79" s="1041">
        <v>0</v>
      </c>
      <c r="W79" s="1041">
        <v>0</v>
      </c>
      <c r="X79" s="1041">
        <v>0</v>
      </c>
      <c r="Y79">
        <v>0</v>
      </c>
    </row>
    <row r="80" spans="1:25" ht="15" customHeight="1">
      <c r="A80" s="1072">
        <f t="shared" si="2"/>
        <v>5.529999999999989</v>
      </c>
      <c r="B80" s="838" t="s">
        <v>1161</v>
      </c>
      <c r="C80" s="838">
        <v>2787956</v>
      </c>
      <c r="D80" s="838">
        <v>2425420</v>
      </c>
      <c r="E80" s="1041"/>
      <c r="F80" s="1041"/>
      <c r="G80" s="1041">
        <f t="shared" si="3"/>
        <v>2606688</v>
      </c>
      <c r="H80" s="1041"/>
      <c r="I80" s="1041">
        <v>0</v>
      </c>
      <c r="J80" s="1041">
        <v>2606688</v>
      </c>
      <c r="K80" s="1041">
        <v>0</v>
      </c>
      <c r="L80" s="1041">
        <v>0</v>
      </c>
      <c r="M80" s="1041">
        <v>0</v>
      </c>
      <c r="N80" s="1041"/>
      <c r="O80" s="1041">
        <v>0</v>
      </c>
      <c r="P80" s="1041">
        <v>2787956</v>
      </c>
      <c r="Q80" s="1041">
        <v>0</v>
      </c>
      <c r="R80" s="1041">
        <v>0</v>
      </c>
      <c r="S80" s="1041">
        <v>0</v>
      </c>
      <c r="T80" s="1041"/>
      <c r="U80" s="1041">
        <v>0</v>
      </c>
      <c r="V80" s="1041">
        <v>2425420</v>
      </c>
      <c r="W80" s="1041">
        <v>0</v>
      </c>
      <c r="X80" s="1041">
        <v>0</v>
      </c>
      <c r="Y80">
        <v>0</v>
      </c>
    </row>
    <row r="81" spans="1:25" ht="15" customHeight="1">
      <c r="A81" s="1072">
        <f t="shared" si="2"/>
        <v>5.5399999999999885</v>
      </c>
      <c r="B81" s="838" t="s">
        <v>1162</v>
      </c>
      <c r="C81" s="838">
        <v>0</v>
      </c>
      <c r="D81" s="838">
        <v>7595532</v>
      </c>
      <c r="E81" s="1041"/>
      <c r="F81" s="1041"/>
      <c r="G81" s="1041">
        <f t="shared" si="3"/>
        <v>3797766</v>
      </c>
      <c r="H81" s="1041"/>
      <c r="I81" s="1041">
        <v>0</v>
      </c>
      <c r="J81" s="1041">
        <v>0</v>
      </c>
      <c r="K81" s="1041">
        <v>3797766</v>
      </c>
      <c r="L81" s="1041">
        <v>0</v>
      </c>
      <c r="M81" s="1041">
        <v>0</v>
      </c>
      <c r="N81" s="1041"/>
      <c r="O81" s="1041">
        <v>0</v>
      </c>
      <c r="P81" s="1041">
        <v>0</v>
      </c>
      <c r="Q81" s="1041">
        <v>0</v>
      </c>
      <c r="R81" s="1041">
        <v>0</v>
      </c>
      <c r="S81" s="1041">
        <v>0</v>
      </c>
      <c r="T81" s="1041"/>
      <c r="U81" s="1041">
        <v>0</v>
      </c>
      <c r="V81" s="1041">
        <v>0</v>
      </c>
      <c r="W81" s="1041">
        <v>7595532</v>
      </c>
      <c r="X81" s="1041">
        <v>0</v>
      </c>
      <c r="Y81">
        <v>0</v>
      </c>
    </row>
    <row r="82" spans="1:24" ht="15" customHeight="1">
      <c r="A82" s="1072">
        <f t="shared" si="2"/>
        <v>5.549999999999988</v>
      </c>
      <c r="B82" s="838" t="s">
        <v>1089</v>
      </c>
      <c r="C82" s="838">
        <v>852070</v>
      </c>
      <c r="D82" s="838">
        <v>338543</v>
      </c>
      <c r="E82" s="1041">
        <v>-852070</v>
      </c>
      <c r="F82" s="1041">
        <v>-338543</v>
      </c>
      <c r="G82" s="1041">
        <f t="shared" si="3"/>
        <v>0</v>
      </c>
      <c r="H82" s="1041"/>
      <c r="I82" s="1041"/>
      <c r="J82" s="1041"/>
      <c r="K82" s="1041"/>
      <c r="L82" s="1041"/>
      <c r="M82" s="1041"/>
      <c r="N82" s="1041"/>
      <c r="O82" s="1041"/>
      <c r="P82" s="1041"/>
      <c r="Q82" s="1041"/>
      <c r="R82" s="1041"/>
      <c r="S82" s="1041"/>
      <c r="T82" s="1041"/>
      <c r="U82" s="1041"/>
      <c r="V82" s="1041"/>
      <c r="W82" s="1041"/>
      <c r="X82" s="1041"/>
    </row>
    <row r="83" spans="1:24" ht="15" customHeight="1">
      <c r="A83" s="1072">
        <f t="shared" si="2"/>
        <v>5.559999999999988</v>
      </c>
      <c r="B83" s="838" t="s">
        <v>1163</v>
      </c>
      <c r="C83" s="838">
        <v>106664937</v>
      </c>
      <c r="D83" s="838">
        <v>66144888</v>
      </c>
      <c r="E83" s="1041">
        <v>-106664937</v>
      </c>
      <c r="F83" s="1041">
        <v>-66144888</v>
      </c>
      <c r="G83" s="1041">
        <f t="shared" si="3"/>
        <v>0</v>
      </c>
      <c r="H83" s="1041"/>
      <c r="I83" s="1041"/>
      <c r="J83" s="1041"/>
      <c r="K83" s="1041"/>
      <c r="L83" s="1041"/>
      <c r="M83" s="1041"/>
      <c r="N83" s="1041"/>
      <c r="O83" s="1041"/>
      <c r="P83" s="1041"/>
      <c r="Q83" s="1041"/>
      <c r="R83" s="1041"/>
      <c r="S83" s="1041"/>
      <c r="T83" s="1041"/>
      <c r="U83" s="1041"/>
      <c r="V83" s="1041"/>
      <c r="W83" s="1041"/>
      <c r="X83" s="1041"/>
    </row>
    <row r="84" spans="1:24" ht="15" customHeight="1">
      <c r="A84" s="1072">
        <f t="shared" si="2"/>
        <v>5.569999999999988</v>
      </c>
      <c r="B84" s="838" t="s">
        <v>1164</v>
      </c>
      <c r="C84" s="838">
        <v>-1398575</v>
      </c>
      <c r="D84" s="838">
        <v>-559290629</v>
      </c>
      <c r="E84" s="1041">
        <v>1398575</v>
      </c>
      <c r="F84" s="1041">
        <v>559290629</v>
      </c>
      <c r="G84" s="1041">
        <f t="shared" si="3"/>
        <v>0</v>
      </c>
      <c r="H84" s="1041"/>
      <c r="I84" s="1041"/>
      <c r="J84" s="1041"/>
      <c r="K84" s="1041"/>
      <c r="L84" s="1041"/>
      <c r="M84" s="1041"/>
      <c r="N84" s="1041"/>
      <c r="O84" s="1041"/>
      <c r="P84" s="1041"/>
      <c r="Q84" s="1041"/>
      <c r="R84" s="1041"/>
      <c r="S84" s="1041"/>
      <c r="T84" s="1041"/>
      <c r="U84" s="1041"/>
      <c r="V84" s="1041"/>
      <c r="W84" s="1041"/>
      <c r="X84" s="1041"/>
    </row>
    <row r="85" spans="1:24" ht="15" customHeight="1">
      <c r="A85" s="1072"/>
      <c r="B85" s="838"/>
      <c r="C85" s="838"/>
      <c r="D85" s="838"/>
      <c r="E85" s="1041"/>
      <c r="F85" s="1041"/>
      <c r="G85" s="1041"/>
      <c r="H85" s="1041"/>
      <c r="I85" s="1041"/>
      <c r="J85" s="1041"/>
      <c r="K85" s="1041"/>
      <c r="L85" s="1041"/>
      <c r="M85" s="1041"/>
      <c r="N85" s="1041"/>
      <c r="O85" s="1041"/>
      <c r="P85" s="1041"/>
      <c r="Q85" s="1041"/>
      <c r="R85" s="1041"/>
      <c r="S85" s="1041"/>
      <c r="T85" s="1041"/>
      <c r="U85" s="1041"/>
      <c r="V85" s="1041"/>
      <c r="W85" s="1041"/>
      <c r="X85" s="1041"/>
    </row>
    <row r="86" ht="12.75">
      <c r="A86"/>
    </row>
    <row r="87" spans="1:24" ht="12.75">
      <c r="A87" s="1052"/>
      <c r="B87" s="1031"/>
      <c r="C87" s="1041"/>
      <c r="D87" s="1041"/>
      <c r="E87" s="1041"/>
      <c r="F87" s="1041"/>
      <c r="G87" s="1041"/>
      <c r="H87" s="1041"/>
      <c r="I87" s="1041"/>
      <c r="J87" s="1041"/>
      <c r="K87" s="1041"/>
      <c r="L87" s="1041"/>
      <c r="M87" s="1041"/>
      <c r="N87" s="1041"/>
      <c r="O87" s="1041"/>
      <c r="P87" s="1041"/>
      <c r="Q87" s="1041"/>
      <c r="R87" s="1041"/>
      <c r="S87" s="1041"/>
      <c r="T87" s="1041"/>
      <c r="U87" s="1041"/>
      <c r="V87" s="1041"/>
      <c r="W87" s="1041"/>
      <c r="X87" s="1041"/>
    </row>
    <row r="88" spans="1:25" ht="13.5" thickBot="1">
      <c r="A88" s="1052">
        <v>6</v>
      </c>
      <c r="B88" s="1032" t="s">
        <v>719</v>
      </c>
      <c r="C88" s="1044">
        <f>SUM(C28:C87)</f>
        <v>1306253605.5</v>
      </c>
      <c r="D88" s="1044">
        <f>SUM(D28:D87)</f>
        <v>886503347.03</v>
      </c>
      <c r="E88" s="1044">
        <f>SUM(E28:E87)</f>
        <v>-106118432</v>
      </c>
      <c r="F88" s="1044">
        <f>SUM(F28:F87)</f>
        <v>492807198</v>
      </c>
      <c r="G88" s="1044">
        <f>SUM(G28:G87)</f>
        <v>1289722861</v>
      </c>
      <c r="H88" s="1041"/>
      <c r="I88" s="1044">
        <f>SUM(I28:I87)</f>
        <v>186757886.43</v>
      </c>
      <c r="J88" s="1044">
        <f>SUM(J28:J87)</f>
        <v>570891839.02</v>
      </c>
      <c r="K88" s="1044">
        <f>SUM(K28:K87)</f>
        <v>218177502.07</v>
      </c>
      <c r="L88" s="1044">
        <f>SUM(L28:L87)</f>
        <v>313895631.745</v>
      </c>
      <c r="M88" s="1044">
        <f>SUM(M28:M87)</f>
        <v>0</v>
      </c>
      <c r="N88" s="1447"/>
      <c r="O88" s="1044">
        <f>SUM(O28:O87)</f>
        <v>178619083.07999998</v>
      </c>
      <c r="P88" s="1044">
        <f>SUM(P28:P87)</f>
        <v>539852958.41</v>
      </c>
      <c r="Q88" s="1044">
        <f>SUM(Q28:Q87)</f>
        <v>199835443.17999995</v>
      </c>
      <c r="R88" s="1044">
        <f>SUM(R28:R87)</f>
        <v>281827688.83</v>
      </c>
      <c r="S88" s="1044">
        <f>SUM(S28:S87)</f>
        <v>0</v>
      </c>
      <c r="T88" s="1041"/>
      <c r="U88" s="1044">
        <f>SUM(U28:U87)</f>
        <v>194896689.78000003</v>
      </c>
      <c r="V88" s="1044">
        <f>SUM(V28:V87)</f>
        <v>601930719.63</v>
      </c>
      <c r="W88" s="1044">
        <f>SUM(W28:W87)</f>
        <v>236519560.95999998</v>
      </c>
      <c r="X88" s="1044">
        <f>SUM(X28:X87)</f>
        <v>345963574.65999997</v>
      </c>
      <c r="Y88" s="1044">
        <f>SUM(Y28:Y87)</f>
        <v>0</v>
      </c>
    </row>
    <row r="89" spans="1:25" ht="13.5" thickTop="1">
      <c r="A89" s="1052">
        <f>A88+1</f>
        <v>7</v>
      </c>
      <c r="B89" s="1118" t="s">
        <v>732</v>
      </c>
      <c r="C89" s="1045">
        <f>C36</f>
        <v>24483096.34</v>
      </c>
      <c r="D89" s="1045">
        <f aca="true" t="shared" si="4" ref="D89:Y89">D36</f>
        <v>26804213.669999998</v>
      </c>
      <c r="E89" s="1045">
        <f t="shared" si="4"/>
        <v>0</v>
      </c>
      <c r="F89" s="1045">
        <f t="shared" si="4"/>
        <v>0</v>
      </c>
      <c r="G89" s="1045">
        <f t="shared" si="4"/>
        <v>25643655</v>
      </c>
      <c r="H89" s="1041"/>
      <c r="I89" s="1045">
        <f t="shared" si="4"/>
        <v>15646277.620000001</v>
      </c>
      <c r="J89" s="1045">
        <f t="shared" si="4"/>
        <v>9880820.434999999</v>
      </c>
      <c r="K89" s="1045">
        <f t="shared" si="4"/>
        <v>-2823.21</v>
      </c>
      <c r="L89" s="1045">
        <f t="shared" si="4"/>
        <v>119380.16</v>
      </c>
      <c r="M89" s="1045">
        <f t="shared" si="4"/>
        <v>0</v>
      </c>
      <c r="N89" s="1447"/>
      <c r="O89" s="1045">
        <f t="shared" si="4"/>
        <v>14266287.19</v>
      </c>
      <c r="P89" s="1045">
        <f t="shared" si="4"/>
        <v>10101625.08</v>
      </c>
      <c r="Q89" s="1045">
        <f t="shared" si="4"/>
        <v>-2823.21</v>
      </c>
      <c r="R89" s="1045">
        <f t="shared" si="4"/>
        <v>118007.28</v>
      </c>
      <c r="S89" s="1045">
        <f t="shared" si="4"/>
        <v>0</v>
      </c>
      <c r="T89" s="1041"/>
      <c r="U89" s="1045">
        <f t="shared" si="4"/>
        <v>17026268.05</v>
      </c>
      <c r="V89" s="1045">
        <f t="shared" si="4"/>
        <v>9660015.79</v>
      </c>
      <c r="W89" s="1045">
        <f t="shared" si="4"/>
        <v>-2823.21</v>
      </c>
      <c r="X89" s="1045">
        <f t="shared" si="4"/>
        <v>120753.04</v>
      </c>
      <c r="Y89" s="1045">
        <f t="shared" si="4"/>
        <v>0</v>
      </c>
    </row>
    <row r="90" spans="1:24" ht="12.75">
      <c r="A90" s="1052"/>
      <c r="B90" s="1032"/>
      <c r="C90" s="1041"/>
      <c r="D90" s="1047"/>
      <c r="E90" s="1041"/>
      <c r="F90" s="1041"/>
      <c r="G90" s="1041"/>
      <c r="H90" s="1041"/>
      <c r="I90" s="1041"/>
      <c r="J90" s="1041"/>
      <c r="K90" s="1041"/>
      <c r="L90" s="1041"/>
      <c r="M90" s="1041"/>
      <c r="N90" s="1041"/>
      <c r="O90" s="1041"/>
      <c r="P90" s="1041"/>
      <c r="Q90" s="1041"/>
      <c r="R90" s="1041"/>
      <c r="S90" s="1041"/>
      <c r="T90" s="1041"/>
      <c r="U90" s="1041"/>
      <c r="V90" s="1041"/>
      <c r="W90" s="1041"/>
      <c r="X90" s="1041"/>
    </row>
    <row r="91" spans="1:24" ht="12.75">
      <c r="A91" s="1052">
        <v>8</v>
      </c>
      <c r="B91" s="256" t="s">
        <v>720</v>
      </c>
      <c r="C91" s="1041" t="s">
        <v>116</v>
      </c>
      <c r="D91" s="1041"/>
      <c r="E91" s="1041"/>
      <c r="F91" s="1041"/>
      <c r="G91" s="1041"/>
      <c r="H91" s="1041"/>
      <c r="I91" s="1041"/>
      <c r="J91" s="1041"/>
      <c r="K91" s="1041"/>
      <c r="L91" s="1041"/>
      <c r="M91" s="1041"/>
      <c r="N91" s="1041"/>
      <c r="O91" s="1041"/>
      <c r="P91" s="1041"/>
      <c r="Q91" s="1041"/>
      <c r="R91" s="1041"/>
      <c r="S91" s="1041"/>
      <c r="T91" s="1041"/>
      <c r="U91" s="1041"/>
      <c r="V91" s="1041"/>
      <c r="W91" s="1041"/>
      <c r="X91" s="1041"/>
    </row>
    <row r="92" spans="1:24" ht="12.75">
      <c r="A92" s="1052"/>
      <c r="B92" s="1031"/>
      <c r="C92" s="1041"/>
      <c r="D92" s="1041"/>
      <c r="E92" s="1041"/>
      <c r="F92" s="1041"/>
      <c r="G92" s="1041"/>
      <c r="H92" s="1041"/>
      <c r="I92" s="1041"/>
      <c r="J92" s="1041"/>
      <c r="K92" s="1041"/>
      <c r="L92" s="1041"/>
      <c r="M92" s="1041"/>
      <c r="N92" s="1041"/>
      <c r="O92" s="1041"/>
      <c r="P92" s="1041"/>
      <c r="Q92" s="1041"/>
      <c r="R92" s="1041"/>
      <c r="S92" s="1041"/>
      <c r="T92" s="1041"/>
      <c r="U92" s="1041"/>
      <c r="V92" s="1041"/>
      <c r="W92" s="1041"/>
      <c r="X92" s="1041"/>
    </row>
    <row r="93" spans="1:25" ht="12.75">
      <c r="A93" s="1072">
        <v>9.01</v>
      </c>
      <c r="B93" s="838" t="s">
        <v>1165</v>
      </c>
      <c r="C93" s="1041">
        <v>0</v>
      </c>
      <c r="D93" s="1041">
        <v>467112.94000000006</v>
      </c>
      <c r="E93" s="1041"/>
      <c r="F93" s="1041"/>
      <c r="G93" s="1041">
        <f aca="true" t="shared" si="5" ref="G93:G147">ROUND(SUM(C93:F93)/2,0)</f>
        <v>233556</v>
      </c>
      <c r="H93" s="1041"/>
      <c r="I93" s="1041">
        <v>72251.965</v>
      </c>
      <c r="J93" s="1041">
        <v>160309.28000000003</v>
      </c>
      <c r="K93" s="1041">
        <v>-56</v>
      </c>
      <c r="L93" s="1041">
        <v>1051.2250000000001</v>
      </c>
      <c r="M93" s="1041">
        <v>0</v>
      </c>
      <c r="N93" s="1041"/>
      <c r="O93" s="838">
        <v>0</v>
      </c>
      <c r="P93" s="838">
        <v>0</v>
      </c>
      <c r="Q93" s="838">
        <v>0</v>
      </c>
      <c r="R93" s="838">
        <v>0</v>
      </c>
      <c r="S93" s="838">
        <v>0</v>
      </c>
      <c r="T93" s="1041"/>
      <c r="U93" s="838">
        <v>144503.93</v>
      </c>
      <c r="V93" s="838">
        <v>320618.56000000006</v>
      </c>
      <c r="W93" s="838">
        <v>-112</v>
      </c>
      <c r="X93" s="838">
        <v>2102.4500000000003</v>
      </c>
      <c r="Y93">
        <v>0</v>
      </c>
    </row>
    <row r="94" spans="1:25" ht="12.75">
      <c r="A94" s="1072">
        <f>A93+0.01</f>
        <v>9.02</v>
      </c>
      <c r="B94" s="838" t="s">
        <v>1166</v>
      </c>
      <c r="C94" s="1041">
        <v>3782333.45</v>
      </c>
      <c r="D94" s="1041">
        <v>0</v>
      </c>
      <c r="E94" s="1041"/>
      <c r="F94" s="1041"/>
      <c r="G94" s="1041">
        <f>ROUND(SUM(C94:F94)/2,0)</f>
        <v>1891167</v>
      </c>
      <c r="H94" s="1041"/>
      <c r="I94" s="1041">
        <v>1891166.725</v>
      </c>
      <c r="J94" s="1041">
        <v>0</v>
      </c>
      <c r="K94" s="1041">
        <v>0</v>
      </c>
      <c r="L94" s="1041">
        <v>0</v>
      </c>
      <c r="M94" s="1041">
        <v>0</v>
      </c>
      <c r="N94" s="1041"/>
      <c r="O94" s="838">
        <v>3782333.45</v>
      </c>
      <c r="P94" s="838">
        <v>0</v>
      </c>
      <c r="Q94" s="838">
        <v>0</v>
      </c>
      <c r="R94" s="838">
        <v>0</v>
      </c>
      <c r="S94" s="838">
        <v>0</v>
      </c>
      <c r="T94" s="1041"/>
      <c r="U94" s="838">
        <v>0</v>
      </c>
      <c r="V94" s="838">
        <v>0</v>
      </c>
      <c r="W94" s="838">
        <v>0</v>
      </c>
      <c r="X94" s="838">
        <v>0</v>
      </c>
      <c r="Y94">
        <v>0</v>
      </c>
    </row>
    <row r="95" spans="1:25" ht="12.75">
      <c r="A95" s="1072">
        <f aca="true" t="shared" si="6" ref="A95:A158">A94+0.01</f>
        <v>9.03</v>
      </c>
      <c r="B95" s="838" t="s">
        <v>1167</v>
      </c>
      <c r="C95" s="1041">
        <v>4363153.07</v>
      </c>
      <c r="D95" s="1041">
        <v>5214025.12</v>
      </c>
      <c r="E95" s="1041"/>
      <c r="F95" s="1041"/>
      <c r="G95" s="1041">
        <f t="shared" si="5"/>
        <v>4788589</v>
      </c>
      <c r="H95" s="1041"/>
      <c r="I95" s="1041">
        <v>4788589.095000001</v>
      </c>
      <c r="J95" s="1041">
        <v>0</v>
      </c>
      <c r="K95" s="1041">
        <v>0</v>
      </c>
      <c r="L95" s="1041">
        <v>0</v>
      </c>
      <c r="M95" s="1041">
        <v>0</v>
      </c>
      <c r="N95" s="1041"/>
      <c r="O95" s="838">
        <v>4363153.07</v>
      </c>
      <c r="P95" s="838">
        <v>0</v>
      </c>
      <c r="Q95" s="838">
        <v>0</v>
      </c>
      <c r="R95" s="838">
        <v>0</v>
      </c>
      <c r="S95" s="838">
        <v>0</v>
      </c>
      <c r="T95" s="1041"/>
      <c r="U95" s="838">
        <v>5214025.12</v>
      </c>
      <c r="V95" s="838">
        <v>0</v>
      </c>
      <c r="W95" s="838">
        <v>0</v>
      </c>
      <c r="X95" s="838">
        <v>0</v>
      </c>
      <c r="Y95">
        <v>0</v>
      </c>
    </row>
    <row r="96" spans="1:25" ht="12.75">
      <c r="A96" s="1072">
        <f t="shared" si="6"/>
        <v>9.04</v>
      </c>
      <c r="B96" s="838" t="s">
        <v>1168</v>
      </c>
      <c r="C96" s="1041">
        <v>0</v>
      </c>
      <c r="D96" s="1041">
        <v>0</v>
      </c>
      <c r="E96" s="1041"/>
      <c r="F96" s="1041"/>
      <c r="G96" s="1041">
        <f t="shared" si="5"/>
        <v>0</v>
      </c>
      <c r="H96" s="1041"/>
      <c r="I96" s="1041">
        <v>0</v>
      </c>
      <c r="J96" s="1041">
        <v>0</v>
      </c>
      <c r="K96" s="1041">
        <v>0</v>
      </c>
      <c r="L96" s="1041">
        <v>0</v>
      </c>
      <c r="M96" s="1041">
        <v>0</v>
      </c>
      <c r="N96" s="1041"/>
      <c r="O96" s="838">
        <v>0</v>
      </c>
      <c r="P96" s="838">
        <v>0</v>
      </c>
      <c r="Q96" s="838">
        <v>0</v>
      </c>
      <c r="R96" s="838">
        <v>0</v>
      </c>
      <c r="S96" s="838">
        <v>0</v>
      </c>
      <c r="T96" s="1041"/>
      <c r="U96" s="838">
        <v>0</v>
      </c>
      <c r="V96" s="838">
        <v>0</v>
      </c>
      <c r="W96" s="838">
        <v>0</v>
      </c>
      <c r="X96" s="838">
        <v>0</v>
      </c>
      <c r="Y96">
        <v>0</v>
      </c>
    </row>
    <row r="97" spans="1:25" ht="12.75">
      <c r="A97" s="1072">
        <f t="shared" si="6"/>
        <v>9.049999999999999</v>
      </c>
      <c r="B97" s="838" t="s">
        <v>1169</v>
      </c>
      <c r="C97" s="1041">
        <v>0</v>
      </c>
      <c r="D97" s="1041">
        <v>0</v>
      </c>
      <c r="E97" s="1041"/>
      <c r="F97" s="1041"/>
      <c r="G97" s="1041">
        <f t="shared" si="5"/>
        <v>0</v>
      </c>
      <c r="H97" s="1041"/>
      <c r="I97" s="1041">
        <v>0</v>
      </c>
      <c r="J97" s="1041">
        <v>0</v>
      </c>
      <c r="K97" s="1041">
        <v>0</v>
      </c>
      <c r="L97" s="1041">
        <v>0</v>
      </c>
      <c r="M97" s="1041">
        <v>0</v>
      </c>
      <c r="N97" s="1041"/>
      <c r="O97" s="838">
        <v>0</v>
      </c>
      <c r="P97" s="838">
        <v>0</v>
      </c>
      <c r="Q97" s="838">
        <v>0</v>
      </c>
      <c r="R97" s="838">
        <v>0</v>
      </c>
      <c r="S97" s="838">
        <v>0</v>
      </c>
      <c r="T97" s="1041"/>
      <c r="U97" s="838">
        <v>0</v>
      </c>
      <c r="V97" s="838">
        <v>0</v>
      </c>
      <c r="W97" s="838">
        <v>0</v>
      </c>
      <c r="X97" s="838">
        <v>0</v>
      </c>
      <c r="Y97">
        <v>0</v>
      </c>
    </row>
    <row r="98" spans="1:25" ht="12.75">
      <c r="A98" s="1072">
        <f t="shared" si="6"/>
        <v>9.059999999999999</v>
      </c>
      <c r="B98" s="838" t="s">
        <v>1170</v>
      </c>
      <c r="C98" s="1041">
        <v>909.31</v>
      </c>
      <c r="D98" s="1041">
        <v>-2477.16</v>
      </c>
      <c r="E98" s="1041"/>
      <c r="F98" s="1041"/>
      <c r="G98" s="1041">
        <f t="shared" si="5"/>
        <v>-784</v>
      </c>
      <c r="H98" s="1041"/>
      <c r="I98" s="1041">
        <v>-783.925</v>
      </c>
      <c r="J98" s="1041">
        <v>0</v>
      </c>
      <c r="K98" s="1041">
        <v>0</v>
      </c>
      <c r="L98" s="1041">
        <v>0</v>
      </c>
      <c r="M98" s="1041">
        <v>0</v>
      </c>
      <c r="N98" s="1041"/>
      <c r="O98" s="838">
        <v>909.31</v>
      </c>
      <c r="P98" s="838">
        <v>0</v>
      </c>
      <c r="Q98" s="838">
        <v>0</v>
      </c>
      <c r="R98" s="838">
        <v>0</v>
      </c>
      <c r="S98" s="838">
        <v>0</v>
      </c>
      <c r="T98" s="1041"/>
      <c r="U98" s="838">
        <v>-2477.16</v>
      </c>
      <c r="V98" s="838">
        <v>0</v>
      </c>
      <c r="W98" s="838">
        <v>0</v>
      </c>
      <c r="X98" s="838">
        <v>0</v>
      </c>
      <c r="Y98">
        <v>0</v>
      </c>
    </row>
    <row r="99" spans="1:25" ht="12.75">
      <c r="A99" s="1072">
        <f t="shared" si="6"/>
        <v>9.069999999999999</v>
      </c>
      <c r="B99" s="838" t="s">
        <v>1171</v>
      </c>
      <c r="C99" s="1041">
        <v>-410556.23</v>
      </c>
      <c r="D99" s="1041">
        <v>-888295.36</v>
      </c>
      <c r="E99" s="1041"/>
      <c r="F99" s="1041"/>
      <c r="G99" s="1041">
        <f>ROUND(SUM(C99:F99)/2,0)</f>
        <v>-649426</v>
      </c>
      <c r="H99" s="1041"/>
      <c r="I99" s="1041">
        <v>-649425.7949999999</v>
      </c>
      <c r="J99" s="1041">
        <v>0</v>
      </c>
      <c r="K99" s="1041">
        <v>0</v>
      </c>
      <c r="L99" s="1041">
        <v>0</v>
      </c>
      <c r="M99" s="1041">
        <v>0</v>
      </c>
      <c r="N99" s="1041"/>
      <c r="O99" s="838">
        <v>-410556.23</v>
      </c>
      <c r="P99" s="838">
        <v>0</v>
      </c>
      <c r="Q99" s="838">
        <v>0</v>
      </c>
      <c r="R99" s="838">
        <v>0</v>
      </c>
      <c r="S99" s="838">
        <v>0</v>
      </c>
      <c r="T99" s="1041"/>
      <c r="U99" s="838">
        <v>-888295.36</v>
      </c>
      <c r="V99" s="838">
        <v>0</v>
      </c>
      <c r="W99" s="838">
        <v>0</v>
      </c>
      <c r="X99" s="838">
        <v>0</v>
      </c>
      <c r="Y99">
        <v>0</v>
      </c>
    </row>
    <row r="100" spans="1:25" ht="12.75">
      <c r="A100" s="1072">
        <f t="shared" si="6"/>
        <v>9.079999999999998</v>
      </c>
      <c r="B100" s="838" t="s">
        <v>1172</v>
      </c>
      <c r="C100" s="1041">
        <v>33875.94</v>
      </c>
      <c r="D100" s="1041">
        <v>33875.94</v>
      </c>
      <c r="E100" s="1041"/>
      <c r="F100" s="1041"/>
      <c r="G100" s="1041">
        <f>ROUND(SUM(C100:F100)/2,0)</f>
        <v>33876</v>
      </c>
      <c r="H100" s="1041"/>
      <c r="I100" s="1041">
        <v>33875.94</v>
      </c>
      <c r="J100" s="1041">
        <v>0</v>
      </c>
      <c r="K100" s="1041">
        <v>0</v>
      </c>
      <c r="L100" s="1041">
        <v>0</v>
      </c>
      <c r="M100" s="1041">
        <v>0</v>
      </c>
      <c r="N100" s="1041"/>
      <c r="O100" s="838">
        <v>33875.94</v>
      </c>
      <c r="P100" s="838">
        <v>0</v>
      </c>
      <c r="Q100" s="838">
        <v>0</v>
      </c>
      <c r="R100" s="838">
        <v>0</v>
      </c>
      <c r="S100" s="838">
        <v>0</v>
      </c>
      <c r="T100" s="1041"/>
      <c r="U100" s="838">
        <v>33875.94</v>
      </c>
      <c r="V100" s="838">
        <v>0</v>
      </c>
      <c r="W100" s="838">
        <v>0</v>
      </c>
      <c r="X100" s="838">
        <v>0</v>
      </c>
      <c r="Y100">
        <v>0</v>
      </c>
    </row>
    <row r="101" spans="1:25" ht="12.75">
      <c r="A101" s="1072">
        <f t="shared" si="6"/>
        <v>9.089999999999998</v>
      </c>
      <c r="B101" s="838" t="s">
        <v>1173</v>
      </c>
      <c r="C101" s="1041">
        <v>916789.65</v>
      </c>
      <c r="D101" s="1041">
        <v>-1686634.25</v>
      </c>
      <c r="E101" s="1041"/>
      <c r="F101" s="1041"/>
      <c r="G101" s="1041">
        <f t="shared" si="5"/>
        <v>-384922</v>
      </c>
      <c r="H101" s="1041"/>
      <c r="I101" s="1041">
        <v>-384922.3</v>
      </c>
      <c r="J101" s="1041">
        <v>0</v>
      </c>
      <c r="K101" s="1041">
        <v>0</v>
      </c>
      <c r="L101" s="1041">
        <v>0</v>
      </c>
      <c r="M101" s="1041">
        <v>0</v>
      </c>
      <c r="N101" s="1041"/>
      <c r="O101" s="838">
        <v>916789.65</v>
      </c>
      <c r="P101" s="838">
        <v>0</v>
      </c>
      <c r="Q101" s="838">
        <v>0</v>
      </c>
      <c r="R101" s="838">
        <v>0</v>
      </c>
      <c r="S101" s="838">
        <v>0</v>
      </c>
      <c r="T101" s="1041"/>
      <c r="U101" s="838">
        <v>-1686634.25</v>
      </c>
      <c r="V101" s="838">
        <v>0</v>
      </c>
      <c r="W101" s="838">
        <v>0</v>
      </c>
      <c r="X101" s="838">
        <v>0</v>
      </c>
      <c r="Y101">
        <v>0</v>
      </c>
    </row>
    <row r="102" spans="1:25" ht="12.75">
      <c r="A102" s="1072">
        <f t="shared" si="6"/>
        <v>9.099999999999998</v>
      </c>
      <c r="B102" s="838" t="s">
        <v>1174</v>
      </c>
      <c r="C102" s="1041">
        <v>-460765.55</v>
      </c>
      <c r="D102" s="1041">
        <v>-460766.25</v>
      </c>
      <c r="E102" s="1041"/>
      <c r="F102" s="1041"/>
      <c r="G102" s="1041">
        <f>ROUND(SUM(C102:F102)/2,0)</f>
        <v>-460766</v>
      </c>
      <c r="H102" s="1041"/>
      <c r="I102" s="1041">
        <v>-460765.9</v>
      </c>
      <c r="J102" s="1041">
        <v>0</v>
      </c>
      <c r="K102" s="1041">
        <v>0</v>
      </c>
      <c r="L102" s="1041">
        <v>0</v>
      </c>
      <c r="M102" s="1041">
        <v>0</v>
      </c>
      <c r="N102" s="1041"/>
      <c r="O102" s="838">
        <v>-460765.55</v>
      </c>
      <c r="P102" s="838">
        <v>0</v>
      </c>
      <c r="Q102" s="838">
        <v>0</v>
      </c>
      <c r="R102" s="838">
        <v>0</v>
      </c>
      <c r="S102" s="838">
        <v>0</v>
      </c>
      <c r="T102" s="1041"/>
      <c r="U102" s="838">
        <v>-460766.25</v>
      </c>
      <c r="V102" s="838">
        <v>0</v>
      </c>
      <c r="W102" s="838">
        <v>0</v>
      </c>
      <c r="X102" s="838">
        <v>0</v>
      </c>
      <c r="Y102">
        <v>0</v>
      </c>
    </row>
    <row r="103" spans="1:25" ht="12.75">
      <c r="A103" s="1072">
        <f t="shared" si="6"/>
        <v>9.109999999999998</v>
      </c>
      <c r="B103" s="838" t="s">
        <v>1175</v>
      </c>
      <c r="C103" s="1041">
        <v>0</v>
      </c>
      <c r="D103" s="1041">
        <v>0</v>
      </c>
      <c r="E103" s="1041"/>
      <c r="F103" s="1041"/>
      <c r="G103" s="1041">
        <f>ROUND(SUM(C103:F103)/2,0)</f>
        <v>0</v>
      </c>
      <c r="H103" s="1041"/>
      <c r="I103" s="1041">
        <v>0</v>
      </c>
      <c r="J103" s="1041">
        <v>0</v>
      </c>
      <c r="K103" s="1041">
        <v>0</v>
      </c>
      <c r="L103" s="1041">
        <v>0</v>
      </c>
      <c r="M103" s="1041">
        <v>0</v>
      </c>
      <c r="N103" s="1041"/>
      <c r="O103" s="838">
        <v>0</v>
      </c>
      <c r="P103" s="838">
        <v>0</v>
      </c>
      <c r="Q103" s="838">
        <v>0</v>
      </c>
      <c r="R103" s="838">
        <v>0</v>
      </c>
      <c r="S103" s="838">
        <v>0</v>
      </c>
      <c r="T103" s="1041"/>
      <c r="U103" s="838">
        <v>0</v>
      </c>
      <c r="V103" s="838">
        <v>0</v>
      </c>
      <c r="W103" s="838">
        <v>0</v>
      </c>
      <c r="X103" s="838">
        <v>0</v>
      </c>
      <c r="Y103">
        <v>0</v>
      </c>
    </row>
    <row r="104" spans="1:25" ht="12.75">
      <c r="A104" s="1072">
        <f t="shared" si="6"/>
        <v>9.119999999999997</v>
      </c>
      <c r="B104" s="838" t="s">
        <v>1176</v>
      </c>
      <c r="C104" s="1041">
        <v>0</v>
      </c>
      <c r="D104" s="1041">
        <v>95786.37</v>
      </c>
      <c r="E104" s="1041"/>
      <c r="F104" s="1041"/>
      <c r="G104" s="1041">
        <f t="shared" si="5"/>
        <v>47893</v>
      </c>
      <c r="H104" s="1041"/>
      <c r="I104" s="1041">
        <v>47893.185</v>
      </c>
      <c r="J104" s="1041">
        <v>0</v>
      </c>
      <c r="K104" s="1041">
        <v>0</v>
      </c>
      <c r="L104" s="1041">
        <v>0</v>
      </c>
      <c r="M104" s="1041">
        <v>0</v>
      </c>
      <c r="N104" s="1041"/>
      <c r="O104" s="838">
        <v>0</v>
      </c>
      <c r="P104" s="838">
        <v>0</v>
      </c>
      <c r="Q104" s="838">
        <v>0</v>
      </c>
      <c r="R104" s="838">
        <v>0</v>
      </c>
      <c r="S104" s="838">
        <v>0</v>
      </c>
      <c r="T104" s="1041"/>
      <c r="U104" s="838">
        <v>95786.37</v>
      </c>
      <c r="V104" s="838">
        <v>0</v>
      </c>
      <c r="W104" s="838">
        <v>0</v>
      </c>
      <c r="X104" s="838">
        <v>0</v>
      </c>
      <c r="Y104">
        <v>0</v>
      </c>
    </row>
    <row r="105" spans="1:25" ht="12.75">
      <c r="A105" s="1072">
        <f t="shared" si="6"/>
        <v>9.129999999999997</v>
      </c>
      <c r="B105" s="838" t="s">
        <v>1177</v>
      </c>
      <c r="C105" s="1041">
        <v>2673526.56</v>
      </c>
      <c r="D105" s="1041">
        <v>2353419.78</v>
      </c>
      <c r="E105" s="1041"/>
      <c r="F105" s="1041"/>
      <c r="G105" s="1041">
        <f t="shared" si="5"/>
        <v>2513473</v>
      </c>
      <c r="H105" s="1041"/>
      <c r="I105" s="1041">
        <v>0</v>
      </c>
      <c r="J105" s="1041">
        <v>0</v>
      </c>
      <c r="K105" s="1041">
        <v>0</v>
      </c>
      <c r="L105" s="1041">
        <v>2513473.17</v>
      </c>
      <c r="M105" s="1041">
        <v>0</v>
      </c>
      <c r="N105" s="1041"/>
      <c r="O105" s="838">
        <v>0</v>
      </c>
      <c r="P105" s="838">
        <v>0</v>
      </c>
      <c r="Q105" s="838">
        <v>0</v>
      </c>
      <c r="R105" s="838">
        <v>2673526.56</v>
      </c>
      <c r="S105" s="838">
        <v>0</v>
      </c>
      <c r="T105" s="1041"/>
      <c r="U105" s="838">
        <v>0</v>
      </c>
      <c r="V105" s="838">
        <v>0</v>
      </c>
      <c r="W105" s="838">
        <v>0</v>
      </c>
      <c r="X105" s="838">
        <v>2353419.78</v>
      </c>
      <c r="Y105">
        <v>0</v>
      </c>
    </row>
    <row r="106" spans="1:25" ht="12.75">
      <c r="A106" s="1072">
        <f t="shared" si="6"/>
        <v>9.139999999999997</v>
      </c>
      <c r="B106" s="838" t="s">
        <v>1178</v>
      </c>
      <c r="C106" s="1041">
        <v>325404.08</v>
      </c>
      <c r="D106" s="1041">
        <v>225204.39</v>
      </c>
      <c r="E106" s="1041"/>
      <c r="F106" s="1041"/>
      <c r="G106" s="1041">
        <f t="shared" si="5"/>
        <v>275304</v>
      </c>
      <c r="H106" s="1041"/>
      <c r="I106" s="1041">
        <v>0</v>
      </c>
      <c r="J106" s="1041">
        <v>0</v>
      </c>
      <c r="K106" s="1041">
        <v>275304.235</v>
      </c>
      <c r="L106" s="1041">
        <v>0</v>
      </c>
      <c r="M106" s="1041">
        <v>0</v>
      </c>
      <c r="N106" s="1041"/>
      <c r="O106" s="838">
        <v>0</v>
      </c>
      <c r="P106" s="838">
        <v>0</v>
      </c>
      <c r="Q106" s="838">
        <v>325404.08</v>
      </c>
      <c r="R106" s="838">
        <v>0</v>
      </c>
      <c r="S106" s="838">
        <v>0</v>
      </c>
      <c r="T106" s="1041"/>
      <c r="U106" s="838">
        <v>0</v>
      </c>
      <c r="V106" s="838">
        <v>0</v>
      </c>
      <c r="W106" s="838">
        <v>225204.39</v>
      </c>
      <c r="X106" s="838">
        <v>0</v>
      </c>
      <c r="Y106">
        <v>0</v>
      </c>
    </row>
    <row r="107" spans="1:25" ht="12.75">
      <c r="A107" s="1072">
        <f t="shared" si="6"/>
        <v>9.149999999999997</v>
      </c>
      <c r="B107" s="838" t="s">
        <v>1179</v>
      </c>
      <c r="C107" s="1041">
        <v>-0.01</v>
      </c>
      <c r="D107" s="1041">
        <v>-0.01</v>
      </c>
      <c r="E107" s="1041"/>
      <c r="F107" s="1041"/>
      <c r="G107" s="1041">
        <f t="shared" si="5"/>
        <v>0</v>
      </c>
      <c r="H107" s="1041"/>
      <c r="I107" s="1041">
        <v>0</v>
      </c>
      <c r="J107" s="1041">
        <v>0</v>
      </c>
      <c r="K107" s="1041">
        <v>0</v>
      </c>
      <c r="L107" s="1041">
        <v>-0.01</v>
      </c>
      <c r="M107" s="1041">
        <v>0</v>
      </c>
      <c r="N107" s="1041"/>
      <c r="O107" s="838">
        <v>0</v>
      </c>
      <c r="P107" s="838">
        <v>0</v>
      </c>
      <c r="Q107" s="838">
        <v>0</v>
      </c>
      <c r="R107" s="838">
        <v>-0.01</v>
      </c>
      <c r="S107" s="838">
        <v>0</v>
      </c>
      <c r="T107" s="1041"/>
      <c r="U107" s="838">
        <v>0</v>
      </c>
      <c r="V107" s="838">
        <v>0</v>
      </c>
      <c r="W107" s="838">
        <v>0</v>
      </c>
      <c r="X107" s="838">
        <v>-0.01</v>
      </c>
      <c r="Y107">
        <v>0</v>
      </c>
    </row>
    <row r="108" spans="1:25" ht="12.75">
      <c r="A108" s="1072">
        <f t="shared" si="6"/>
        <v>9.159999999999997</v>
      </c>
      <c r="B108" s="838" t="s">
        <v>1180</v>
      </c>
      <c r="C108" s="1041">
        <v>203836.25999999998</v>
      </c>
      <c r="D108" s="1041">
        <v>569436.56</v>
      </c>
      <c r="E108" s="1041"/>
      <c r="F108" s="1041"/>
      <c r="G108" s="1041">
        <f t="shared" si="5"/>
        <v>386636</v>
      </c>
      <c r="H108" s="1041"/>
      <c r="I108" s="1041">
        <v>-14265.865</v>
      </c>
      <c r="J108" s="1041">
        <v>0</v>
      </c>
      <c r="K108" s="1041">
        <v>0</v>
      </c>
      <c r="L108" s="1041">
        <v>400902.275</v>
      </c>
      <c r="M108" s="1041">
        <v>0</v>
      </c>
      <c r="N108" s="1041"/>
      <c r="O108" s="838">
        <v>-28531.73</v>
      </c>
      <c r="P108" s="838">
        <v>0</v>
      </c>
      <c r="Q108" s="838">
        <v>0</v>
      </c>
      <c r="R108" s="838">
        <v>232367.99</v>
      </c>
      <c r="S108" s="838">
        <v>0</v>
      </c>
      <c r="T108" s="1041"/>
      <c r="U108" s="838">
        <v>0</v>
      </c>
      <c r="V108" s="838">
        <v>0</v>
      </c>
      <c r="W108" s="838">
        <v>0</v>
      </c>
      <c r="X108" s="838">
        <v>569436.56</v>
      </c>
      <c r="Y108">
        <v>0</v>
      </c>
    </row>
    <row r="109" spans="1:25" ht="12.75">
      <c r="A109" s="1072">
        <f t="shared" si="6"/>
        <v>9.169999999999996</v>
      </c>
      <c r="B109" s="838" t="s">
        <v>1181</v>
      </c>
      <c r="C109" s="1041">
        <v>0</v>
      </c>
      <c r="D109" s="1041">
        <v>0</v>
      </c>
      <c r="E109" s="1041"/>
      <c r="F109" s="1041"/>
      <c r="G109" s="1041">
        <f t="shared" si="5"/>
        <v>0</v>
      </c>
      <c r="H109" s="1041"/>
      <c r="I109" s="1041">
        <v>0</v>
      </c>
      <c r="J109" s="1041">
        <v>0</v>
      </c>
      <c r="K109" s="1041">
        <v>0</v>
      </c>
      <c r="L109" s="1041">
        <v>0</v>
      </c>
      <c r="M109" s="1041">
        <v>0</v>
      </c>
      <c r="N109" s="1041"/>
      <c r="O109" s="838">
        <v>0</v>
      </c>
      <c r="P109" s="838">
        <v>0</v>
      </c>
      <c r="Q109" s="838">
        <v>0</v>
      </c>
      <c r="R109" s="838">
        <v>0</v>
      </c>
      <c r="S109" s="838">
        <v>0</v>
      </c>
      <c r="T109" s="1041"/>
      <c r="U109" s="838">
        <v>0</v>
      </c>
      <c r="V109" s="838">
        <v>0</v>
      </c>
      <c r="W109" s="838">
        <v>0</v>
      </c>
      <c r="X109" s="838">
        <v>0</v>
      </c>
      <c r="Y109">
        <v>0</v>
      </c>
    </row>
    <row r="110" spans="1:25" ht="12.75">
      <c r="A110" s="1072">
        <f t="shared" si="6"/>
        <v>9.179999999999996</v>
      </c>
      <c r="B110" s="838" t="s">
        <v>1032</v>
      </c>
      <c r="C110" s="1041">
        <v>1351919.49</v>
      </c>
      <c r="D110" s="1041">
        <v>1351919.49</v>
      </c>
      <c r="E110" s="1041"/>
      <c r="F110" s="1041"/>
      <c r="G110" s="1041">
        <f t="shared" si="5"/>
        <v>1351919</v>
      </c>
      <c r="H110" s="1041"/>
      <c r="I110" s="1041">
        <v>869583.48</v>
      </c>
      <c r="J110" s="1041">
        <v>0</v>
      </c>
      <c r="K110" s="1041">
        <v>144919.44</v>
      </c>
      <c r="L110" s="1041">
        <v>337416.57</v>
      </c>
      <c r="M110" s="1041">
        <v>0</v>
      </c>
      <c r="N110" s="1041"/>
      <c r="O110" s="838">
        <v>869583.48</v>
      </c>
      <c r="P110" s="838">
        <v>0</v>
      </c>
      <c r="Q110" s="838">
        <v>144919.44</v>
      </c>
      <c r="R110" s="838">
        <v>337416.57</v>
      </c>
      <c r="S110" s="838">
        <v>0</v>
      </c>
      <c r="T110" s="1041"/>
      <c r="U110" s="838">
        <v>869583.48</v>
      </c>
      <c r="V110" s="838">
        <v>0</v>
      </c>
      <c r="W110" s="838">
        <v>144919.44</v>
      </c>
      <c r="X110" s="838">
        <v>337416.57</v>
      </c>
      <c r="Y110">
        <v>0</v>
      </c>
    </row>
    <row r="111" spans="1:25" ht="12.75">
      <c r="A111" s="1072">
        <f t="shared" si="6"/>
        <v>9.189999999999996</v>
      </c>
      <c r="B111" s="838" t="s">
        <v>1182</v>
      </c>
      <c r="C111" s="1041">
        <v>10261329.9</v>
      </c>
      <c r="D111" s="1041">
        <v>9785289.3</v>
      </c>
      <c r="E111" s="1041"/>
      <c r="F111" s="1041"/>
      <c r="G111" s="1041">
        <f t="shared" si="5"/>
        <v>10023310</v>
      </c>
      <c r="H111" s="1041"/>
      <c r="I111" s="1041">
        <v>10023309.600000001</v>
      </c>
      <c r="J111" s="1041">
        <v>0</v>
      </c>
      <c r="K111" s="1041">
        <v>0</v>
      </c>
      <c r="L111" s="1041">
        <v>0</v>
      </c>
      <c r="M111" s="1041">
        <v>0</v>
      </c>
      <c r="N111" s="1041"/>
      <c r="O111" s="838">
        <v>10261329.9</v>
      </c>
      <c r="P111" s="838">
        <v>0</v>
      </c>
      <c r="Q111" s="838">
        <v>0</v>
      </c>
      <c r="R111" s="838">
        <v>0</v>
      </c>
      <c r="S111" s="838">
        <v>0</v>
      </c>
      <c r="T111" s="1041"/>
      <c r="U111" s="838">
        <v>9785289.3</v>
      </c>
      <c r="V111" s="838">
        <v>0</v>
      </c>
      <c r="W111" s="838">
        <v>0</v>
      </c>
      <c r="X111" s="838">
        <v>0</v>
      </c>
      <c r="Y111">
        <v>0</v>
      </c>
    </row>
    <row r="112" spans="1:25" ht="12.75">
      <c r="A112" s="1072">
        <f t="shared" si="6"/>
        <v>9.199999999999996</v>
      </c>
      <c r="B112" s="838" t="s">
        <v>1183</v>
      </c>
      <c r="C112" s="1041">
        <v>4581.15</v>
      </c>
      <c r="D112" s="1041">
        <v>4581.15</v>
      </c>
      <c r="E112" s="1041"/>
      <c r="F112" s="1041"/>
      <c r="G112" s="1041">
        <f t="shared" si="5"/>
        <v>4581</v>
      </c>
      <c r="H112" s="1041"/>
      <c r="I112" s="1041">
        <v>4581.15</v>
      </c>
      <c r="J112" s="1041">
        <v>0</v>
      </c>
      <c r="K112" s="1041">
        <v>0</v>
      </c>
      <c r="L112" s="1041">
        <v>0</v>
      </c>
      <c r="M112" s="1041">
        <v>0</v>
      </c>
      <c r="N112" s="1041"/>
      <c r="O112" s="838">
        <v>4581.15</v>
      </c>
      <c r="P112" s="838">
        <v>0</v>
      </c>
      <c r="Q112" s="838">
        <v>0</v>
      </c>
      <c r="R112" s="838">
        <v>0</v>
      </c>
      <c r="S112" s="838">
        <v>0</v>
      </c>
      <c r="T112" s="1041"/>
      <c r="U112" s="838">
        <v>4581.15</v>
      </c>
      <c r="V112" s="838">
        <v>0</v>
      </c>
      <c r="W112" s="838">
        <v>0</v>
      </c>
      <c r="X112" s="838">
        <v>0</v>
      </c>
      <c r="Y112">
        <v>0</v>
      </c>
    </row>
    <row r="113" spans="1:25" ht="12.75">
      <c r="A113" s="1072">
        <f t="shared" si="6"/>
        <v>9.209999999999996</v>
      </c>
      <c r="B113" s="838" t="s">
        <v>1184</v>
      </c>
      <c r="C113" s="1041">
        <v>179966.7</v>
      </c>
      <c r="D113" s="1041">
        <v>179966.7</v>
      </c>
      <c r="E113" s="1041"/>
      <c r="F113" s="1041"/>
      <c r="G113" s="1041">
        <f t="shared" si="5"/>
        <v>179967</v>
      </c>
      <c r="H113" s="1041"/>
      <c r="I113" s="1041">
        <v>179966.7</v>
      </c>
      <c r="J113" s="1041">
        <v>0</v>
      </c>
      <c r="K113" s="1041">
        <v>0</v>
      </c>
      <c r="L113" s="1041">
        <v>0</v>
      </c>
      <c r="M113" s="1041">
        <v>0</v>
      </c>
      <c r="N113" s="1041"/>
      <c r="O113" s="838">
        <v>179966.7</v>
      </c>
      <c r="P113" s="838">
        <v>0</v>
      </c>
      <c r="Q113" s="838">
        <v>0</v>
      </c>
      <c r="R113" s="838">
        <v>0</v>
      </c>
      <c r="S113" s="838">
        <v>0</v>
      </c>
      <c r="T113" s="1041"/>
      <c r="U113" s="838">
        <v>179966.7</v>
      </c>
      <c r="V113" s="838">
        <v>0</v>
      </c>
      <c r="W113" s="838">
        <v>0</v>
      </c>
      <c r="X113" s="838">
        <v>0</v>
      </c>
      <c r="Y113">
        <v>0</v>
      </c>
    </row>
    <row r="114" spans="1:25" ht="12.75">
      <c r="A114" s="1072">
        <f t="shared" si="6"/>
        <v>9.219999999999995</v>
      </c>
      <c r="B114" s="838" t="s">
        <v>1185</v>
      </c>
      <c r="C114" s="1046">
        <v>126240.31</v>
      </c>
      <c r="D114" s="1046">
        <v>87105.97</v>
      </c>
      <c r="E114" s="1046"/>
      <c r="F114" s="1046"/>
      <c r="G114" s="1046">
        <f t="shared" si="5"/>
        <v>106673</v>
      </c>
      <c r="H114" s="1046"/>
      <c r="I114" s="1046">
        <v>106673.14</v>
      </c>
      <c r="J114" s="1046">
        <v>0</v>
      </c>
      <c r="K114" s="1046">
        <v>0</v>
      </c>
      <c r="L114" s="1046">
        <v>0</v>
      </c>
      <c r="M114" s="1046">
        <v>0</v>
      </c>
      <c r="N114" s="1046"/>
      <c r="O114" s="1440">
        <v>126240.31</v>
      </c>
      <c r="P114" s="1440">
        <v>0</v>
      </c>
      <c r="Q114" s="1440">
        <v>0</v>
      </c>
      <c r="R114" s="1440">
        <v>0</v>
      </c>
      <c r="S114" s="1440">
        <v>0</v>
      </c>
      <c r="T114" s="1046"/>
      <c r="U114" s="1440">
        <v>87105.97</v>
      </c>
      <c r="V114" s="1440">
        <v>0</v>
      </c>
      <c r="W114" s="1440">
        <v>0</v>
      </c>
      <c r="X114" s="1440">
        <v>0</v>
      </c>
      <c r="Y114" s="1443">
        <v>0</v>
      </c>
    </row>
    <row r="115" spans="1:25" ht="12.75">
      <c r="A115" s="1072">
        <f t="shared" si="6"/>
        <v>9.229999999999995</v>
      </c>
      <c r="B115" s="838" t="s">
        <v>1186</v>
      </c>
      <c r="C115" s="1041">
        <v>-8374.45</v>
      </c>
      <c r="D115" s="1041">
        <v>-8374.45</v>
      </c>
      <c r="E115" s="1041"/>
      <c r="F115" s="1041"/>
      <c r="G115" s="1041">
        <f t="shared" si="5"/>
        <v>-8374</v>
      </c>
      <c r="H115" s="1041"/>
      <c r="I115" s="1041">
        <v>-8374.45</v>
      </c>
      <c r="J115" s="1041">
        <v>0</v>
      </c>
      <c r="K115" s="1041">
        <v>0</v>
      </c>
      <c r="L115" s="1041">
        <v>0</v>
      </c>
      <c r="M115" s="1041">
        <v>0</v>
      </c>
      <c r="N115" s="1041"/>
      <c r="O115" s="838">
        <v>-8374.45</v>
      </c>
      <c r="P115" s="838">
        <v>0</v>
      </c>
      <c r="Q115" s="838">
        <v>0</v>
      </c>
      <c r="R115" s="838">
        <v>0</v>
      </c>
      <c r="S115" s="838">
        <v>0</v>
      </c>
      <c r="T115" s="1041"/>
      <c r="U115" s="838">
        <v>-8374.45</v>
      </c>
      <c r="V115" s="838">
        <v>0</v>
      </c>
      <c r="W115" s="838">
        <v>0</v>
      </c>
      <c r="X115" s="838">
        <v>0</v>
      </c>
      <c r="Y115">
        <v>0</v>
      </c>
    </row>
    <row r="116" spans="1:25" ht="12.75">
      <c r="A116" s="1072">
        <f t="shared" si="6"/>
        <v>9.239999999999995</v>
      </c>
      <c r="B116" s="838" t="s">
        <v>1187</v>
      </c>
      <c r="C116" s="1041">
        <v>0</v>
      </c>
      <c r="D116" s="1041">
        <v>0</v>
      </c>
      <c r="E116" s="1041"/>
      <c r="F116" s="1041"/>
      <c r="G116" s="1041">
        <f t="shared" si="5"/>
        <v>0</v>
      </c>
      <c r="H116" s="1041"/>
      <c r="I116" s="1041">
        <v>0</v>
      </c>
      <c r="J116" s="1041">
        <v>0</v>
      </c>
      <c r="K116" s="1041">
        <v>0</v>
      </c>
      <c r="L116" s="1041">
        <v>0</v>
      </c>
      <c r="M116" s="1041">
        <v>0</v>
      </c>
      <c r="N116" s="1041"/>
      <c r="O116" s="838">
        <v>0</v>
      </c>
      <c r="P116" s="838">
        <v>0</v>
      </c>
      <c r="Q116" s="838">
        <v>0</v>
      </c>
      <c r="R116" s="838">
        <v>0</v>
      </c>
      <c r="S116" s="838">
        <v>0</v>
      </c>
      <c r="T116" s="1041"/>
      <c r="U116" s="838">
        <v>0</v>
      </c>
      <c r="V116" s="838">
        <v>0</v>
      </c>
      <c r="W116" s="838">
        <v>0</v>
      </c>
      <c r="X116" s="838">
        <v>0</v>
      </c>
      <c r="Y116">
        <v>0</v>
      </c>
    </row>
    <row r="117" spans="1:25" ht="12.75">
      <c r="A117" s="1072">
        <f t="shared" si="6"/>
        <v>9.249999999999995</v>
      </c>
      <c r="B117" s="838" t="s">
        <v>1188</v>
      </c>
      <c r="C117" s="1041">
        <v>44464575.400000006</v>
      </c>
      <c r="D117" s="1041">
        <v>31767014.3</v>
      </c>
      <c r="E117" s="1041"/>
      <c r="F117" s="1041"/>
      <c r="G117" s="1041">
        <f>ROUND(SUM(C117:F117)/2,0)</f>
        <v>38115795</v>
      </c>
      <c r="H117" s="1041"/>
      <c r="I117" s="1041">
        <v>5452449.975</v>
      </c>
      <c r="J117" s="1041">
        <v>11631093.775</v>
      </c>
      <c r="K117" s="1041">
        <v>3717814.975</v>
      </c>
      <c r="L117" s="1041">
        <v>17314436.125</v>
      </c>
      <c r="M117" s="1041">
        <v>0</v>
      </c>
      <c r="N117" s="1041"/>
      <c r="O117" s="838">
        <v>7669230.8</v>
      </c>
      <c r="P117" s="838">
        <v>13526076.55</v>
      </c>
      <c r="Q117" s="838">
        <v>4137241.5</v>
      </c>
      <c r="R117" s="838">
        <v>19132026.55</v>
      </c>
      <c r="S117" s="838">
        <v>0</v>
      </c>
      <c r="T117" s="1041"/>
      <c r="U117" s="838">
        <v>3235669.15</v>
      </c>
      <c r="V117" s="838">
        <v>9736111</v>
      </c>
      <c r="W117" s="838">
        <v>3298388.45</v>
      </c>
      <c r="X117" s="838">
        <v>15496845.7</v>
      </c>
      <c r="Y117">
        <v>0</v>
      </c>
    </row>
    <row r="118" spans="1:25" ht="12.75">
      <c r="A118" s="1072">
        <f t="shared" si="6"/>
        <v>9.259999999999994</v>
      </c>
      <c r="B118" s="838" t="s">
        <v>1189</v>
      </c>
      <c r="C118" s="1041">
        <v>403094.30000000005</v>
      </c>
      <c r="D118" s="1041">
        <v>361364.5</v>
      </c>
      <c r="E118" s="1041"/>
      <c r="F118" s="1041"/>
      <c r="G118" s="1041">
        <f t="shared" si="5"/>
        <v>382229</v>
      </c>
      <c r="H118" s="1041"/>
      <c r="I118" s="1041">
        <v>-6134.625</v>
      </c>
      <c r="J118" s="1041">
        <v>178065.65000000002</v>
      </c>
      <c r="K118" s="1041">
        <v>28705.6</v>
      </c>
      <c r="L118" s="1041">
        <v>181592.77500000002</v>
      </c>
      <c r="M118" s="1041">
        <v>0</v>
      </c>
      <c r="N118" s="1041"/>
      <c r="O118" s="838">
        <v>-6676.6</v>
      </c>
      <c r="P118" s="838">
        <v>174862.45</v>
      </c>
      <c r="Q118" s="838">
        <v>28248.85</v>
      </c>
      <c r="R118" s="838">
        <v>206659.6</v>
      </c>
      <c r="S118" s="838">
        <v>0</v>
      </c>
      <c r="T118" s="1041"/>
      <c r="U118" s="838">
        <v>-5592.65</v>
      </c>
      <c r="V118" s="838">
        <v>181268.85</v>
      </c>
      <c r="W118" s="838">
        <v>29162.35</v>
      </c>
      <c r="X118" s="838">
        <v>156525.95</v>
      </c>
      <c r="Y118">
        <v>0</v>
      </c>
    </row>
    <row r="119" spans="1:25" ht="12.75">
      <c r="A119" s="1072">
        <f t="shared" si="6"/>
        <v>9.269999999999994</v>
      </c>
      <c r="B119" s="838" t="s">
        <v>1190</v>
      </c>
      <c r="C119" s="1041">
        <v>4798425.09</v>
      </c>
      <c r="D119" s="1041">
        <v>-4897681.96</v>
      </c>
      <c r="E119" s="1041"/>
      <c r="F119" s="1041"/>
      <c r="G119" s="1041">
        <f t="shared" si="5"/>
        <v>-49628</v>
      </c>
      <c r="H119" s="1041"/>
      <c r="I119" s="1041">
        <v>87527.47499999998</v>
      </c>
      <c r="J119" s="1041">
        <v>151651.66500000004</v>
      </c>
      <c r="K119" s="1041">
        <v>30276.400000000023</v>
      </c>
      <c r="L119" s="1041">
        <v>-319083.975</v>
      </c>
      <c r="M119" s="1041">
        <v>0</v>
      </c>
      <c r="N119" s="1041"/>
      <c r="O119" s="838">
        <v>1131576.95</v>
      </c>
      <c r="P119" s="838">
        <v>1920033.49</v>
      </c>
      <c r="Q119" s="838">
        <v>366573.9</v>
      </c>
      <c r="R119" s="838">
        <v>1380240.75</v>
      </c>
      <c r="S119" s="838">
        <v>0</v>
      </c>
      <c r="T119" s="1041"/>
      <c r="U119" s="838">
        <v>-956522</v>
      </c>
      <c r="V119" s="838">
        <v>-1616730.16</v>
      </c>
      <c r="W119" s="838">
        <v>-306021.1</v>
      </c>
      <c r="X119" s="838">
        <v>-2018408.7</v>
      </c>
      <c r="Y119">
        <v>0</v>
      </c>
    </row>
    <row r="120" spans="1:25" ht="12.75">
      <c r="A120" s="1072">
        <f t="shared" si="6"/>
        <v>9.279999999999994</v>
      </c>
      <c r="B120" s="838" t="s">
        <v>1191</v>
      </c>
      <c r="C120" s="1041">
        <v>18319.93</v>
      </c>
      <c r="D120" s="1041">
        <v>22491.06</v>
      </c>
      <c r="E120" s="1041"/>
      <c r="F120" s="1041"/>
      <c r="G120" s="1041">
        <f>ROUND(SUM(C120:F120)/2,0)</f>
        <v>20405</v>
      </c>
      <c r="H120" s="1041"/>
      <c r="I120" s="1041">
        <v>0</v>
      </c>
      <c r="J120" s="1041">
        <v>0</v>
      </c>
      <c r="K120" s="1041">
        <v>0</v>
      </c>
      <c r="L120" s="1041">
        <v>20405.495000000003</v>
      </c>
      <c r="M120" s="1041">
        <v>0</v>
      </c>
      <c r="N120" s="1041"/>
      <c r="O120" s="838">
        <v>0</v>
      </c>
      <c r="P120" s="838">
        <v>0</v>
      </c>
      <c r="Q120" s="838">
        <v>0</v>
      </c>
      <c r="R120" s="838">
        <v>18319.93</v>
      </c>
      <c r="S120" s="838">
        <v>0</v>
      </c>
      <c r="T120" s="1041"/>
      <c r="U120" s="838">
        <v>0</v>
      </c>
      <c r="V120" s="838">
        <v>0</v>
      </c>
      <c r="W120" s="838">
        <v>0</v>
      </c>
      <c r="X120" s="838">
        <v>22491.06</v>
      </c>
      <c r="Y120">
        <v>0</v>
      </c>
    </row>
    <row r="121" spans="1:25" ht="12.75">
      <c r="A121" s="1072">
        <f t="shared" si="6"/>
        <v>9.289999999999994</v>
      </c>
      <c r="B121" s="838" t="s">
        <v>1192</v>
      </c>
      <c r="C121" s="1041">
        <v>0</v>
      </c>
      <c r="D121" s="1041">
        <v>0</v>
      </c>
      <c r="E121" s="1041"/>
      <c r="F121" s="1041"/>
      <c r="G121" s="1041">
        <f t="shared" si="5"/>
        <v>0</v>
      </c>
      <c r="H121" s="1041"/>
      <c r="I121" s="1041">
        <v>0</v>
      </c>
      <c r="J121" s="1041">
        <v>0</v>
      </c>
      <c r="K121" s="1041">
        <v>0</v>
      </c>
      <c r="L121" s="1041">
        <v>0</v>
      </c>
      <c r="M121" s="1041">
        <v>0</v>
      </c>
      <c r="N121" s="1041"/>
      <c r="O121" s="838">
        <v>0</v>
      </c>
      <c r="P121" s="838">
        <v>0</v>
      </c>
      <c r="Q121" s="838">
        <v>0</v>
      </c>
      <c r="R121" s="838">
        <v>0</v>
      </c>
      <c r="S121" s="838">
        <v>0</v>
      </c>
      <c r="T121" s="1041"/>
      <c r="U121" s="838">
        <v>0</v>
      </c>
      <c r="V121" s="838">
        <v>0</v>
      </c>
      <c r="W121" s="838">
        <v>0</v>
      </c>
      <c r="X121" s="838">
        <v>0</v>
      </c>
      <c r="Y121">
        <v>0</v>
      </c>
    </row>
    <row r="122" spans="1:25" ht="12.75">
      <c r="A122" s="1072">
        <f t="shared" si="6"/>
        <v>9.299999999999994</v>
      </c>
      <c r="B122" s="838" t="s">
        <v>1193</v>
      </c>
      <c r="C122" s="1041">
        <v>8510849.34</v>
      </c>
      <c r="D122" s="1041">
        <v>3134659.34</v>
      </c>
      <c r="E122" s="1041"/>
      <c r="F122" s="1041"/>
      <c r="G122" s="1041">
        <f t="shared" si="5"/>
        <v>5822754</v>
      </c>
      <c r="H122" s="1041"/>
      <c r="I122" s="1041">
        <v>5822754.34</v>
      </c>
      <c r="J122" s="1041">
        <v>0</v>
      </c>
      <c r="K122" s="1041">
        <v>0</v>
      </c>
      <c r="L122" s="1041">
        <v>0</v>
      </c>
      <c r="M122" s="1041">
        <v>0</v>
      </c>
      <c r="N122" s="1041"/>
      <c r="O122" s="838">
        <v>8510849.34</v>
      </c>
      <c r="P122" s="838">
        <v>0</v>
      </c>
      <c r="Q122" s="838">
        <v>0</v>
      </c>
      <c r="R122" s="838">
        <v>0</v>
      </c>
      <c r="S122" s="838">
        <v>0</v>
      </c>
      <c r="T122" s="1041"/>
      <c r="U122" s="838">
        <v>3134659.34</v>
      </c>
      <c r="V122" s="838">
        <v>0</v>
      </c>
      <c r="W122" s="838">
        <v>0</v>
      </c>
      <c r="X122" s="838">
        <v>0</v>
      </c>
      <c r="Y122">
        <v>0</v>
      </c>
    </row>
    <row r="123" spans="1:25" ht="12.75">
      <c r="A123" s="1072">
        <f t="shared" si="6"/>
        <v>9.309999999999993</v>
      </c>
      <c r="B123" s="838" t="s">
        <v>1194</v>
      </c>
      <c r="C123" s="1438">
        <v>0</v>
      </c>
      <c r="D123" s="1438">
        <v>16803599.8</v>
      </c>
      <c r="E123" s="1438"/>
      <c r="F123" s="1438"/>
      <c r="G123" s="1438">
        <f t="shared" si="5"/>
        <v>8401800</v>
      </c>
      <c r="H123" s="1438"/>
      <c r="I123" s="1438">
        <v>8401799.9</v>
      </c>
      <c r="J123" s="1438">
        <v>0</v>
      </c>
      <c r="K123" s="1438">
        <v>0</v>
      </c>
      <c r="L123" s="1438">
        <v>0</v>
      </c>
      <c r="M123" s="1438">
        <v>0</v>
      </c>
      <c r="N123" s="1438"/>
      <c r="O123" s="1439">
        <v>0</v>
      </c>
      <c r="P123" s="1439">
        <v>0</v>
      </c>
      <c r="Q123" s="1439">
        <v>0</v>
      </c>
      <c r="R123" s="1439">
        <v>0</v>
      </c>
      <c r="S123" s="1439">
        <v>0</v>
      </c>
      <c r="T123" s="1438"/>
      <c r="U123" s="1439">
        <v>16803599.8</v>
      </c>
      <c r="V123" s="838">
        <v>0</v>
      </c>
      <c r="W123" s="838">
        <v>0</v>
      </c>
      <c r="X123" s="838">
        <v>0</v>
      </c>
      <c r="Y123">
        <v>0</v>
      </c>
    </row>
    <row r="124" spans="1:25" ht="12.75">
      <c r="A124" s="1072">
        <f t="shared" si="6"/>
        <v>9.319999999999993</v>
      </c>
      <c r="B124" s="838" t="s">
        <v>1195</v>
      </c>
      <c r="C124" s="1041">
        <v>0</v>
      </c>
      <c r="D124" s="1041">
        <v>0</v>
      </c>
      <c r="E124" s="1041"/>
      <c r="F124" s="1041"/>
      <c r="G124" s="1041">
        <f t="shared" si="5"/>
        <v>0</v>
      </c>
      <c r="H124" s="1041"/>
      <c r="I124" s="1041">
        <v>0</v>
      </c>
      <c r="J124" s="1041">
        <v>0</v>
      </c>
      <c r="K124" s="1041">
        <v>0</v>
      </c>
      <c r="L124" s="1041">
        <v>0</v>
      </c>
      <c r="M124" s="1041">
        <v>0</v>
      </c>
      <c r="N124" s="1041"/>
      <c r="O124" s="838">
        <v>0</v>
      </c>
      <c r="P124" s="838">
        <v>0</v>
      </c>
      <c r="Q124" s="838">
        <v>0</v>
      </c>
      <c r="R124" s="838">
        <v>0</v>
      </c>
      <c r="S124" s="838">
        <v>0</v>
      </c>
      <c r="T124" s="1041"/>
      <c r="U124" s="838">
        <v>0</v>
      </c>
      <c r="V124" s="838">
        <v>0</v>
      </c>
      <c r="W124" s="838">
        <v>0</v>
      </c>
      <c r="X124" s="838">
        <v>0</v>
      </c>
      <c r="Y124">
        <v>0</v>
      </c>
    </row>
    <row r="125" spans="1:25" ht="12.75">
      <c r="A125" s="1072">
        <f t="shared" si="6"/>
        <v>9.329999999999993</v>
      </c>
      <c r="B125" s="838" t="s">
        <v>1196</v>
      </c>
      <c r="C125" s="1041">
        <v>0</v>
      </c>
      <c r="D125" s="1041">
        <v>0</v>
      </c>
      <c r="E125" s="1041"/>
      <c r="F125" s="1041"/>
      <c r="G125" s="1041">
        <f t="shared" si="5"/>
        <v>0</v>
      </c>
      <c r="H125" s="1041"/>
      <c r="I125" s="1041">
        <v>0</v>
      </c>
      <c r="J125" s="1041">
        <v>0</v>
      </c>
      <c r="K125" s="1041">
        <v>0</v>
      </c>
      <c r="L125" s="1041">
        <v>0</v>
      </c>
      <c r="M125" s="1041">
        <v>0</v>
      </c>
      <c r="N125" s="1041"/>
      <c r="O125" s="838">
        <v>0</v>
      </c>
      <c r="P125" s="838">
        <v>0</v>
      </c>
      <c r="Q125" s="838">
        <v>0</v>
      </c>
      <c r="R125" s="838">
        <v>0</v>
      </c>
      <c r="S125" s="838">
        <v>0</v>
      </c>
      <c r="T125" s="1041"/>
      <c r="U125" s="838">
        <v>0</v>
      </c>
      <c r="V125" s="838">
        <v>0</v>
      </c>
      <c r="W125" s="838">
        <v>0</v>
      </c>
      <c r="X125" s="838">
        <v>0</v>
      </c>
      <c r="Y125">
        <v>0</v>
      </c>
    </row>
    <row r="126" spans="1:25" ht="12.75">
      <c r="A126" s="1072">
        <f t="shared" si="6"/>
        <v>9.339999999999993</v>
      </c>
      <c r="B126" s="838" t="s">
        <v>1197</v>
      </c>
      <c r="C126" s="1041">
        <v>0</v>
      </c>
      <c r="D126" s="1041">
        <v>401478.22</v>
      </c>
      <c r="E126" s="1041"/>
      <c r="F126" s="1041"/>
      <c r="G126" s="1041">
        <f t="shared" si="5"/>
        <v>200739</v>
      </c>
      <c r="H126" s="1041"/>
      <c r="I126" s="1041">
        <v>0</v>
      </c>
      <c r="J126" s="1041">
        <v>0</v>
      </c>
      <c r="K126" s="1041">
        <v>0</v>
      </c>
      <c r="L126" s="1041">
        <v>200739.11</v>
      </c>
      <c r="M126" s="1041">
        <v>0</v>
      </c>
      <c r="N126" s="1041"/>
      <c r="O126" s="838">
        <v>0</v>
      </c>
      <c r="P126" s="838">
        <v>0</v>
      </c>
      <c r="Q126" s="838">
        <v>0</v>
      </c>
      <c r="R126" s="838">
        <v>0</v>
      </c>
      <c r="S126" s="838">
        <v>0</v>
      </c>
      <c r="T126" s="1041"/>
      <c r="U126" s="838">
        <v>0</v>
      </c>
      <c r="V126" s="838">
        <v>0</v>
      </c>
      <c r="W126" s="838">
        <v>0</v>
      </c>
      <c r="X126" s="838">
        <v>401478.22</v>
      </c>
      <c r="Y126">
        <v>0</v>
      </c>
    </row>
    <row r="127" spans="1:25" ht="12.75">
      <c r="A127" s="1072">
        <f t="shared" si="6"/>
        <v>9.349999999999993</v>
      </c>
      <c r="B127" s="838" t="s">
        <v>1198</v>
      </c>
      <c r="C127" s="1041">
        <v>0</v>
      </c>
      <c r="D127" s="1041">
        <v>0</v>
      </c>
      <c r="E127" s="1041"/>
      <c r="F127" s="1041"/>
      <c r="G127" s="1041">
        <f t="shared" si="5"/>
        <v>0</v>
      </c>
      <c r="H127" s="1041"/>
      <c r="I127" s="1041">
        <v>0</v>
      </c>
      <c r="J127" s="1041">
        <v>0</v>
      </c>
      <c r="K127" s="1041">
        <v>0</v>
      </c>
      <c r="L127" s="1041">
        <v>0</v>
      </c>
      <c r="M127" s="1041">
        <v>0</v>
      </c>
      <c r="N127" s="1041"/>
      <c r="O127" s="838">
        <v>0</v>
      </c>
      <c r="P127" s="838">
        <v>0</v>
      </c>
      <c r="Q127" s="838">
        <v>0</v>
      </c>
      <c r="R127" s="838">
        <v>0</v>
      </c>
      <c r="S127" s="838">
        <v>0</v>
      </c>
      <c r="T127" s="1041"/>
      <c r="U127" s="838">
        <v>0</v>
      </c>
      <c r="V127" s="838">
        <v>0</v>
      </c>
      <c r="W127" s="838">
        <v>0</v>
      </c>
      <c r="X127" s="838">
        <v>0</v>
      </c>
      <c r="Y127">
        <v>0</v>
      </c>
    </row>
    <row r="128" spans="1:25" ht="12.75">
      <c r="A128" s="1072">
        <f t="shared" si="6"/>
        <v>9.359999999999992</v>
      </c>
      <c r="B128" s="838" t="s">
        <v>1199</v>
      </c>
      <c r="C128" s="1041">
        <v>0</v>
      </c>
      <c r="D128" s="1041">
        <v>0</v>
      </c>
      <c r="E128" s="1041"/>
      <c r="F128" s="1041"/>
      <c r="G128" s="1041">
        <f t="shared" si="5"/>
        <v>0</v>
      </c>
      <c r="H128" s="1041"/>
      <c r="I128" s="1041">
        <v>0</v>
      </c>
      <c r="J128" s="1041">
        <v>0</v>
      </c>
      <c r="K128" s="1041">
        <v>0</v>
      </c>
      <c r="L128" s="1041">
        <v>0</v>
      </c>
      <c r="M128" s="1041">
        <v>0</v>
      </c>
      <c r="N128" s="1041"/>
      <c r="O128" s="838">
        <v>0</v>
      </c>
      <c r="P128" s="838">
        <v>0</v>
      </c>
      <c r="Q128" s="838">
        <v>0</v>
      </c>
      <c r="R128" s="838">
        <v>0</v>
      </c>
      <c r="S128" s="838">
        <v>0</v>
      </c>
      <c r="T128" s="1041"/>
      <c r="U128" s="838">
        <v>0</v>
      </c>
      <c r="V128" s="838">
        <v>0</v>
      </c>
      <c r="W128" s="838">
        <v>0</v>
      </c>
      <c r="X128" s="838">
        <v>0</v>
      </c>
      <c r="Y128">
        <v>0</v>
      </c>
    </row>
    <row r="129" spans="1:25" ht="12.75">
      <c r="A129" s="1072">
        <f t="shared" si="6"/>
        <v>9.369999999999992</v>
      </c>
      <c r="B129" s="838" t="s">
        <v>1200</v>
      </c>
      <c r="C129" s="1041">
        <v>0</v>
      </c>
      <c r="D129" s="1041">
        <v>0</v>
      </c>
      <c r="E129" s="1041"/>
      <c r="F129" s="1041"/>
      <c r="G129" s="1041">
        <f t="shared" si="5"/>
        <v>0</v>
      </c>
      <c r="H129" s="1041"/>
      <c r="I129" s="1041">
        <v>0</v>
      </c>
      <c r="J129" s="1041">
        <v>0</v>
      </c>
      <c r="K129" s="1041">
        <v>0</v>
      </c>
      <c r="L129" s="1041">
        <v>0</v>
      </c>
      <c r="M129" s="1041">
        <v>0</v>
      </c>
      <c r="N129" s="1041"/>
      <c r="O129" s="838">
        <v>0</v>
      </c>
      <c r="P129" s="838">
        <v>0</v>
      </c>
      <c r="Q129" s="838">
        <v>0</v>
      </c>
      <c r="R129" s="838">
        <v>0</v>
      </c>
      <c r="S129" s="838">
        <v>0</v>
      </c>
      <c r="T129" s="1041"/>
      <c r="U129" s="838">
        <v>0</v>
      </c>
      <c r="V129" s="838">
        <v>0</v>
      </c>
      <c r="W129" s="838">
        <v>0</v>
      </c>
      <c r="X129" s="838">
        <v>0</v>
      </c>
      <c r="Y129">
        <v>0</v>
      </c>
    </row>
    <row r="130" spans="1:25" ht="12.75">
      <c r="A130" s="1072">
        <f t="shared" si="6"/>
        <v>9.379999999999992</v>
      </c>
      <c r="B130" s="838" t="s">
        <v>1201</v>
      </c>
      <c r="C130" s="1041">
        <v>0</v>
      </c>
      <c r="D130" s="1041">
        <v>0</v>
      </c>
      <c r="E130" s="1041"/>
      <c r="F130" s="1041"/>
      <c r="G130" s="1041">
        <f t="shared" si="5"/>
        <v>0</v>
      </c>
      <c r="H130" s="1041"/>
      <c r="I130" s="1041">
        <v>0</v>
      </c>
      <c r="J130" s="1041">
        <v>0</v>
      </c>
      <c r="K130" s="1041">
        <v>0</v>
      </c>
      <c r="L130" s="1041">
        <v>0</v>
      </c>
      <c r="M130" s="1041">
        <v>0</v>
      </c>
      <c r="N130" s="1041"/>
      <c r="O130" s="838">
        <v>0</v>
      </c>
      <c r="P130" s="838">
        <v>0</v>
      </c>
      <c r="Q130" s="838">
        <v>0</v>
      </c>
      <c r="R130" s="838">
        <v>0</v>
      </c>
      <c r="S130" s="838">
        <v>0</v>
      </c>
      <c r="T130" s="1041"/>
      <c r="U130" s="838">
        <v>0</v>
      </c>
      <c r="V130" s="838">
        <v>0</v>
      </c>
      <c r="W130" s="838">
        <v>0</v>
      </c>
      <c r="X130" s="838">
        <v>0</v>
      </c>
      <c r="Y130">
        <v>0</v>
      </c>
    </row>
    <row r="131" spans="1:25" ht="12.75">
      <c r="A131" s="1072">
        <f t="shared" si="6"/>
        <v>9.389999999999992</v>
      </c>
      <c r="B131" s="838" t="s">
        <v>1202</v>
      </c>
      <c r="C131" s="1041">
        <v>308461.93</v>
      </c>
      <c r="D131" s="1041">
        <v>0.01</v>
      </c>
      <c r="E131" s="1041"/>
      <c r="F131" s="1041"/>
      <c r="G131" s="1041">
        <f t="shared" si="5"/>
        <v>154231</v>
      </c>
      <c r="H131" s="1041"/>
      <c r="I131" s="1041">
        <v>0</v>
      </c>
      <c r="J131" s="1041">
        <v>0</v>
      </c>
      <c r="K131" s="1041">
        <v>0</v>
      </c>
      <c r="L131" s="1041">
        <v>154230.97</v>
      </c>
      <c r="M131" s="1041">
        <v>0</v>
      </c>
      <c r="N131" s="1041"/>
      <c r="O131" s="838">
        <v>0</v>
      </c>
      <c r="P131" s="838">
        <v>0</v>
      </c>
      <c r="Q131" s="838">
        <v>0</v>
      </c>
      <c r="R131" s="838">
        <v>308461.93</v>
      </c>
      <c r="S131" s="838">
        <v>0</v>
      </c>
      <c r="T131" s="1041"/>
      <c r="U131" s="838">
        <v>0</v>
      </c>
      <c r="V131" s="838">
        <v>0</v>
      </c>
      <c r="W131" s="838">
        <v>0</v>
      </c>
      <c r="X131" s="838">
        <v>0.01</v>
      </c>
      <c r="Y131">
        <v>0</v>
      </c>
    </row>
    <row r="132" spans="1:25" ht="12.75">
      <c r="A132" s="1072">
        <f t="shared" si="6"/>
        <v>9.399999999999991</v>
      </c>
      <c r="B132" s="838" t="s">
        <v>1203</v>
      </c>
      <c r="C132" s="1041">
        <v>63041.7</v>
      </c>
      <c r="D132" s="1041">
        <v>103359.98</v>
      </c>
      <c r="E132" s="1041"/>
      <c r="F132" s="1041"/>
      <c r="G132" s="1041">
        <f t="shared" si="5"/>
        <v>83201</v>
      </c>
      <c r="H132" s="1041"/>
      <c r="I132" s="1041">
        <v>0</v>
      </c>
      <c r="J132" s="1041">
        <v>0</v>
      </c>
      <c r="K132" s="1041">
        <v>0</v>
      </c>
      <c r="L132" s="1041">
        <v>83200.84</v>
      </c>
      <c r="M132" s="1041">
        <v>0</v>
      </c>
      <c r="N132" s="1041"/>
      <c r="O132" s="838">
        <v>0</v>
      </c>
      <c r="P132" s="838">
        <v>0</v>
      </c>
      <c r="Q132" s="838">
        <v>0</v>
      </c>
      <c r="R132" s="838">
        <v>63041.7</v>
      </c>
      <c r="S132" s="838">
        <v>0</v>
      </c>
      <c r="T132" s="1041"/>
      <c r="U132" s="838">
        <v>0</v>
      </c>
      <c r="V132" s="838">
        <v>0</v>
      </c>
      <c r="W132" s="838">
        <v>0</v>
      </c>
      <c r="X132" s="838">
        <v>103359.98</v>
      </c>
      <c r="Y132">
        <v>0</v>
      </c>
    </row>
    <row r="133" spans="1:25" ht="12.75">
      <c r="A133" s="1072">
        <f t="shared" si="6"/>
        <v>9.409999999999991</v>
      </c>
      <c r="B133" s="838" t="s">
        <v>1204</v>
      </c>
      <c r="C133" s="1041">
        <v>-23950.62</v>
      </c>
      <c r="D133" s="1041">
        <v>-39268.23</v>
      </c>
      <c r="E133" s="1041"/>
      <c r="F133" s="1041"/>
      <c r="G133" s="1041">
        <f t="shared" si="5"/>
        <v>-31609</v>
      </c>
      <c r="H133" s="1041"/>
      <c r="I133" s="1041">
        <v>0</v>
      </c>
      <c r="J133" s="1041">
        <v>0</v>
      </c>
      <c r="K133" s="1041">
        <v>0</v>
      </c>
      <c r="L133" s="1041">
        <v>-31609.425000000003</v>
      </c>
      <c r="M133" s="1041">
        <v>0</v>
      </c>
      <c r="N133" s="1041"/>
      <c r="O133" s="838">
        <v>0</v>
      </c>
      <c r="P133" s="838">
        <v>0</v>
      </c>
      <c r="Q133" s="838">
        <v>0</v>
      </c>
      <c r="R133" s="838">
        <v>-23950.62</v>
      </c>
      <c r="S133" s="838">
        <v>0</v>
      </c>
      <c r="T133" s="1041"/>
      <c r="U133" s="838">
        <v>0</v>
      </c>
      <c r="V133" s="838">
        <v>0</v>
      </c>
      <c r="W133" s="838">
        <v>0</v>
      </c>
      <c r="X133" s="838">
        <v>-39268.23</v>
      </c>
      <c r="Y133">
        <v>0</v>
      </c>
    </row>
    <row r="134" spans="1:25" ht="12.75">
      <c r="A134" s="1072">
        <f t="shared" si="6"/>
        <v>9.419999999999991</v>
      </c>
      <c r="B134" s="838" t="s">
        <v>1205</v>
      </c>
      <c r="C134" s="1041">
        <v>16907.58</v>
      </c>
      <c r="D134" s="1041">
        <v>39573.9</v>
      </c>
      <c r="E134" s="1041"/>
      <c r="F134" s="1041"/>
      <c r="G134" s="1041">
        <f t="shared" si="5"/>
        <v>28241</v>
      </c>
      <c r="H134" s="1041"/>
      <c r="I134" s="1041">
        <v>0</v>
      </c>
      <c r="J134" s="1041">
        <v>0</v>
      </c>
      <c r="K134" s="1041">
        <v>0</v>
      </c>
      <c r="L134" s="1041">
        <v>28240.74</v>
      </c>
      <c r="M134" s="1041">
        <v>0</v>
      </c>
      <c r="N134" s="1041"/>
      <c r="O134" s="838">
        <v>0</v>
      </c>
      <c r="P134" s="838">
        <v>0</v>
      </c>
      <c r="Q134" s="838">
        <v>0</v>
      </c>
      <c r="R134" s="838">
        <v>16907.58</v>
      </c>
      <c r="S134" s="838">
        <v>0</v>
      </c>
      <c r="T134" s="1041"/>
      <c r="U134" s="838">
        <v>0</v>
      </c>
      <c r="V134" s="838">
        <v>0</v>
      </c>
      <c r="W134" s="838">
        <v>0</v>
      </c>
      <c r="X134" s="838">
        <v>39573.9</v>
      </c>
      <c r="Y134">
        <v>0</v>
      </c>
    </row>
    <row r="135" spans="1:25" ht="12.75">
      <c r="A135" s="1072">
        <f t="shared" si="6"/>
        <v>9.42999999999999</v>
      </c>
      <c r="B135" s="838" t="s">
        <v>1206</v>
      </c>
      <c r="C135" s="1041">
        <v>0</v>
      </c>
      <c r="D135" s="1041">
        <v>0</v>
      </c>
      <c r="E135" s="1041"/>
      <c r="F135" s="1041"/>
      <c r="G135" s="1041">
        <f t="shared" si="5"/>
        <v>0</v>
      </c>
      <c r="H135" s="1041"/>
      <c r="I135" s="1041">
        <v>0</v>
      </c>
      <c r="J135" s="1041">
        <v>0</v>
      </c>
      <c r="K135" s="1041">
        <v>0</v>
      </c>
      <c r="L135" s="1041">
        <v>0</v>
      </c>
      <c r="M135" s="1041">
        <v>0</v>
      </c>
      <c r="N135" s="1041"/>
      <c r="O135" s="838">
        <v>0</v>
      </c>
      <c r="P135" s="838">
        <v>0</v>
      </c>
      <c r="Q135" s="838">
        <v>0</v>
      </c>
      <c r="R135" s="838">
        <v>0</v>
      </c>
      <c r="S135" s="838">
        <v>0</v>
      </c>
      <c r="T135" s="1041"/>
      <c r="U135" s="838">
        <v>0</v>
      </c>
      <c r="V135" s="838">
        <v>0</v>
      </c>
      <c r="W135" s="838">
        <v>0</v>
      </c>
      <c r="X135" s="838">
        <v>0</v>
      </c>
      <c r="Y135">
        <v>0</v>
      </c>
    </row>
    <row r="136" spans="1:25" ht="12.75">
      <c r="A136" s="1072">
        <f t="shared" si="6"/>
        <v>9.43999999999999</v>
      </c>
      <c r="B136" s="838" t="s">
        <v>1207</v>
      </c>
      <c r="C136" s="1041">
        <v>-3133.94</v>
      </c>
      <c r="D136" s="1041">
        <v>-0.01</v>
      </c>
      <c r="E136" s="1041"/>
      <c r="F136" s="1041"/>
      <c r="G136" s="1041">
        <f t="shared" si="5"/>
        <v>-1567</v>
      </c>
      <c r="H136" s="1041"/>
      <c r="I136" s="1041">
        <v>0</v>
      </c>
      <c r="J136" s="1041">
        <v>0</v>
      </c>
      <c r="K136" s="1041">
        <v>0</v>
      </c>
      <c r="L136" s="1041">
        <v>-1566.9750000000001</v>
      </c>
      <c r="M136" s="1041">
        <v>0</v>
      </c>
      <c r="N136" s="1041"/>
      <c r="O136" s="838">
        <v>0</v>
      </c>
      <c r="P136" s="838">
        <v>0</v>
      </c>
      <c r="Q136" s="838">
        <v>0</v>
      </c>
      <c r="R136" s="838">
        <v>-3133.94</v>
      </c>
      <c r="S136" s="838">
        <v>0</v>
      </c>
      <c r="T136" s="1041"/>
      <c r="U136" s="838">
        <v>0</v>
      </c>
      <c r="V136" s="838">
        <v>0</v>
      </c>
      <c r="W136" s="838">
        <v>0</v>
      </c>
      <c r="X136" s="838">
        <v>-0.01</v>
      </c>
      <c r="Y136">
        <v>0</v>
      </c>
    </row>
    <row r="137" spans="1:25" ht="12.75">
      <c r="A137" s="1072">
        <f t="shared" si="6"/>
        <v>9.44999999999999</v>
      </c>
      <c r="B137" s="838" t="s">
        <v>1208</v>
      </c>
      <c r="C137" s="1041">
        <v>-88741.89</v>
      </c>
      <c r="D137" s="1041">
        <v>0</v>
      </c>
      <c r="E137" s="1041"/>
      <c r="F137" s="1041"/>
      <c r="G137" s="1041">
        <f t="shared" si="5"/>
        <v>-44371</v>
      </c>
      <c r="H137" s="1041"/>
      <c r="I137" s="1041">
        <v>0</v>
      </c>
      <c r="J137" s="1041">
        <v>0</v>
      </c>
      <c r="K137" s="1041">
        <v>0</v>
      </c>
      <c r="L137" s="1041">
        <v>-44370.945</v>
      </c>
      <c r="M137" s="1041">
        <v>0</v>
      </c>
      <c r="N137" s="1041"/>
      <c r="O137" s="838">
        <v>0</v>
      </c>
      <c r="P137" s="838">
        <v>0</v>
      </c>
      <c r="Q137" s="838">
        <v>0</v>
      </c>
      <c r="R137" s="838">
        <v>-88741.89</v>
      </c>
      <c r="S137" s="838">
        <v>0</v>
      </c>
      <c r="T137" s="1041"/>
      <c r="U137" s="838">
        <v>0</v>
      </c>
      <c r="V137" s="838">
        <v>0</v>
      </c>
      <c r="W137" s="838">
        <v>0</v>
      </c>
      <c r="X137" s="838">
        <v>0</v>
      </c>
      <c r="Y137">
        <v>0</v>
      </c>
    </row>
    <row r="138" spans="1:25" ht="12.75">
      <c r="A138" s="1072">
        <f t="shared" si="6"/>
        <v>9.45999999999999</v>
      </c>
      <c r="B138" s="838" t="s">
        <v>1209</v>
      </c>
      <c r="C138" s="1041">
        <v>8674.85</v>
      </c>
      <c r="D138" s="1041">
        <v>0.01</v>
      </c>
      <c r="E138" s="1041"/>
      <c r="F138" s="1041"/>
      <c r="G138" s="1041">
        <f t="shared" si="5"/>
        <v>4337</v>
      </c>
      <c r="H138" s="1041"/>
      <c r="I138" s="1041">
        <v>0</v>
      </c>
      <c r="J138" s="1041">
        <v>0</v>
      </c>
      <c r="K138" s="1041">
        <v>0</v>
      </c>
      <c r="L138" s="1041">
        <v>4337.43</v>
      </c>
      <c r="M138" s="1041">
        <v>0</v>
      </c>
      <c r="N138" s="1041"/>
      <c r="O138" s="838">
        <v>0</v>
      </c>
      <c r="P138" s="838">
        <v>0</v>
      </c>
      <c r="Q138" s="838">
        <v>0</v>
      </c>
      <c r="R138" s="838">
        <v>8674.85</v>
      </c>
      <c r="S138" s="838">
        <v>0</v>
      </c>
      <c r="T138" s="1041"/>
      <c r="U138" s="838">
        <v>0</v>
      </c>
      <c r="V138" s="838">
        <v>0</v>
      </c>
      <c r="W138" s="838">
        <v>0</v>
      </c>
      <c r="X138" s="838">
        <v>0.01</v>
      </c>
      <c r="Y138">
        <v>0</v>
      </c>
    </row>
    <row r="139" spans="1:25" ht="12.75">
      <c r="A139" s="1072">
        <f t="shared" si="6"/>
        <v>9.46999999999999</v>
      </c>
      <c r="B139" s="838" t="s">
        <v>1210</v>
      </c>
      <c r="C139" s="1041">
        <v>3854839.46</v>
      </c>
      <c r="D139" s="1041">
        <v>4864475.15</v>
      </c>
      <c r="E139" s="1041"/>
      <c r="F139" s="1041"/>
      <c r="G139" s="1041">
        <f t="shared" si="5"/>
        <v>4359657</v>
      </c>
      <c r="H139" s="1041"/>
      <c r="I139" s="1041">
        <v>0</v>
      </c>
      <c r="J139" s="1041">
        <v>0</v>
      </c>
      <c r="K139" s="1041">
        <v>0</v>
      </c>
      <c r="L139" s="1041">
        <v>4359657.305</v>
      </c>
      <c r="M139" s="1041">
        <v>0</v>
      </c>
      <c r="N139" s="1041"/>
      <c r="O139" s="838">
        <v>0</v>
      </c>
      <c r="P139" s="838">
        <v>0</v>
      </c>
      <c r="Q139" s="838">
        <v>0</v>
      </c>
      <c r="R139" s="838">
        <v>3854839.46</v>
      </c>
      <c r="S139" s="838">
        <v>0</v>
      </c>
      <c r="T139" s="1041"/>
      <c r="U139" s="838">
        <v>0</v>
      </c>
      <c r="V139" s="838">
        <v>0</v>
      </c>
      <c r="W139" s="838">
        <v>0</v>
      </c>
      <c r="X139" s="838">
        <v>4864475.15</v>
      </c>
      <c r="Y139">
        <v>0</v>
      </c>
    </row>
    <row r="140" spans="1:25" ht="12.75">
      <c r="A140" s="1072">
        <f t="shared" si="6"/>
        <v>9.47999999999999</v>
      </c>
      <c r="B140" s="838" t="s">
        <v>1211</v>
      </c>
      <c r="C140" s="1041">
        <v>-2809861.77</v>
      </c>
      <c r="D140" s="1041">
        <v>-4436445.37</v>
      </c>
      <c r="E140" s="1041"/>
      <c r="F140" s="1041"/>
      <c r="G140" s="1041">
        <f t="shared" si="5"/>
        <v>-3623154</v>
      </c>
      <c r="H140" s="1041"/>
      <c r="I140" s="1041">
        <v>0</v>
      </c>
      <c r="J140" s="1041">
        <v>0</v>
      </c>
      <c r="K140" s="1041">
        <v>0</v>
      </c>
      <c r="L140" s="1041">
        <v>-3623153.5700000003</v>
      </c>
      <c r="M140" s="1041">
        <v>0</v>
      </c>
      <c r="N140" s="1041"/>
      <c r="O140" s="838">
        <v>0</v>
      </c>
      <c r="P140" s="838">
        <v>0</v>
      </c>
      <c r="Q140" s="838">
        <v>0</v>
      </c>
      <c r="R140" s="838">
        <v>-2809861.77</v>
      </c>
      <c r="S140" s="838">
        <v>0</v>
      </c>
      <c r="T140" s="1041"/>
      <c r="U140" s="838">
        <v>0</v>
      </c>
      <c r="V140" s="838">
        <v>0</v>
      </c>
      <c r="W140" s="838">
        <v>0</v>
      </c>
      <c r="X140" s="838">
        <v>-4436445.37</v>
      </c>
      <c r="Y140">
        <v>0</v>
      </c>
    </row>
    <row r="141" spans="1:25" ht="12.75">
      <c r="A141" s="1072">
        <f t="shared" si="6"/>
        <v>9.48999999999999</v>
      </c>
      <c r="B141" s="838" t="s">
        <v>1212</v>
      </c>
      <c r="C141" s="1041">
        <v>7028.380000000001</v>
      </c>
      <c r="D141" s="1041">
        <v>7028.380000000001</v>
      </c>
      <c r="E141" s="1041"/>
      <c r="F141" s="1041"/>
      <c r="G141" s="1041">
        <f t="shared" si="5"/>
        <v>7028</v>
      </c>
      <c r="H141" s="1041"/>
      <c r="I141" s="1041">
        <v>4582.81</v>
      </c>
      <c r="J141" s="1041">
        <v>0</v>
      </c>
      <c r="K141" s="1041">
        <v>871.09</v>
      </c>
      <c r="L141" s="1041">
        <v>1574.48</v>
      </c>
      <c r="M141" s="1041">
        <v>0</v>
      </c>
      <c r="N141" s="1041"/>
      <c r="O141" s="838">
        <v>4582.81</v>
      </c>
      <c r="P141" s="838">
        <v>0</v>
      </c>
      <c r="Q141" s="838">
        <v>871.09</v>
      </c>
      <c r="R141" s="838">
        <v>1574.48</v>
      </c>
      <c r="S141" s="838">
        <v>0</v>
      </c>
      <c r="T141" s="1041"/>
      <c r="U141" s="838">
        <v>4582.81</v>
      </c>
      <c r="V141" s="838">
        <v>0</v>
      </c>
      <c r="W141" s="838">
        <v>871.09</v>
      </c>
      <c r="X141" s="838">
        <v>1574.48</v>
      </c>
      <c r="Y141">
        <v>0</v>
      </c>
    </row>
    <row r="142" spans="1:25" ht="12.75">
      <c r="A142" s="1072">
        <f t="shared" si="6"/>
        <v>9.49999999999999</v>
      </c>
      <c r="B142" s="838" t="s">
        <v>1213</v>
      </c>
      <c r="C142" s="1041">
        <v>-1358947.8800000001</v>
      </c>
      <c r="D142" s="1041">
        <v>-1358947.8800000001</v>
      </c>
      <c r="E142" s="1041"/>
      <c r="F142" s="1041"/>
      <c r="G142" s="1041">
        <f t="shared" si="5"/>
        <v>-1358948</v>
      </c>
      <c r="H142" s="1041"/>
      <c r="I142" s="1041">
        <v>-874166.29</v>
      </c>
      <c r="J142" s="1041">
        <v>0</v>
      </c>
      <c r="K142" s="1041">
        <v>-145790.54</v>
      </c>
      <c r="L142" s="1041">
        <v>-338991.05</v>
      </c>
      <c r="M142" s="1041">
        <v>0</v>
      </c>
      <c r="N142" s="1041"/>
      <c r="O142" s="838">
        <v>-874166.29</v>
      </c>
      <c r="P142" s="838">
        <v>0</v>
      </c>
      <c r="Q142" s="838">
        <v>-145790.54</v>
      </c>
      <c r="R142" s="838">
        <v>-338991.05</v>
      </c>
      <c r="S142" s="838">
        <v>0</v>
      </c>
      <c r="T142" s="1041"/>
      <c r="U142" s="838">
        <v>-874166.29</v>
      </c>
      <c r="V142" s="838">
        <v>0</v>
      </c>
      <c r="W142" s="838">
        <v>-145790.54</v>
      </c>
      <c r="X142" s="838">
        <v>-338991.05</v>
      </c>
      <c r="Y142">
        <v>0</v>
      </c>
    </row>
    <row r="143" spans="1:25" ht="12.75">
      <c r="A143" s="1072">
        <f t="shared" si="6"/>
        <v>9.50999999999999</v>
      </c>
      <c r="B143" s="838" t="s">
        <v>1214</v>
      </c>
      <c r="C143" s="1041">
        <v>744050.69</v>
      </c>
      <c r="D143" s="1041">
        <v>900710.14</v>
      </c>
      <c r="E143" s="1041"/>
      <c r="F143" s="1041"/>
      <c r="G143" s="1041">
        <f t="shared" si="5"/>
        <v>822380</v>
      </c>
      <c r="H143" s="1041"/>
      <c r="I143" s="1041">
        <v>0</v>
      </c>
      <c r="J143" s="1041">
        <v>822380.415</v>
      </c>
      <c r="K143" s="1041">
        <v>0</v>
      </c>
      <c r="L143" s="1041">
        <v>0</v>
      </c>
      <c r="M143" s="1041">
        <v>0</v>
      </c>
      <c r="N143" s="1041"/>
      <c r="O143" s="838">
        <v>0</v>
      </c>
      <c r="P143" s="838">
        <v>744050.69</v>
      </c>
      <c r="Q143" s="838">
        <v>0</v>
      </c>
      <c r="R143" s="838">
        <v>0</v>
      </c>
      <c r="S143" s="838">
        <v>0</v>
      </c>
      <c r="T143" s="1041"/>
      <c r="U143" s="838">
        <v>0</v>
      </c>
      <c r="V143" s="838">
        <v>900710.14</v>
      </c>
      <c r="W143" s="838">
        <v>0</v>
      </c>
      <c r="X143" s="838">
        <v>0</v>
      </c>
      <c r="Y143">
        <v>0</v>
      </c>
    </row>
    <row r="144" spans="1:25" ht="12.75">
      <c r="A144" s="1072">
        <f t="shared" si="6"/>
        <v>9.519999999999989</v>
      </c>
      <c r="B144" s="838" t="s">
        <v>1215</v>
      </c>
      <c r="C144" s="1041">
        <v>-468971.28</v>
      </c>
      <c r="D144" s="1041">
        <v>-567727.43</v>
      </c>
      <c r="E144" s="1041"/>
      <c r="F144" s="1041"/>
      <c r="G144" s="1041">
        <f t="shared" si="5"/>
        <v>-518349</v>
      </c>
      <c r="H144" s="1041"/>
      <c r="I144" s="1041">
        <v>0</v>
      </c>
      <c r="J144" s="1041">
        <v>-518349.35500000004</v>
      </c>
      <c r="K144" s="1041">
        <v>0</v>
      </c>
      <c r="L144" s="1041">
        <v>0</v>
      </c>
      <c r="M144" s="1041">
        <v>0</v>
      </c>
      <c r="N144" s="1041"/>
      <c r="O144" s="838">
        <v>0</v>
      </c>
      <c r="P144" s="838">
        <v>-468971.28</v>
      </c>
      <c r="Q144" s="838">
        <v>0</v>
      </c>
      <c r="R144" s="838">
        <v>0</v>
      </c>
      <c r="S144" s="838">
        <v>0</v>
      </c>
      <c r="T144" s="1041"/>
      <c r="U144" s="838">
        <v>0</v>
      </c>
      <c r="V144" s="838">
        <v>-567727.43</v>
      </c>
      <c r="W144" s="838">
        <v>0</v>
      </c>
      <c r="X144" s="838">
        <v>0</v>
      </c>
      <c r="Y144">
        <v>0</v>
      </c>
    </row>
    <row r="145" spans="1:25" ht="12.75">
      <c r="A145" s="1072">
        <f t="shared" si="6"/>
        <v>9.529999999999989</v>
      </c>
      <c r="B145" s="838" t="s">
        <v>1216</v>
      </c>
      <c r="C145" s="1041">
        <v>1234403.87</v>
      </c>
      <c r="D145" s="1041">
        <v>1494345.1</v>
      </c>
      <c r="E145" s="1041"/>
      <c r="F145" s="1041"/>
      <c r="G145" s="1041">
        <f t="shared" si="5"/>
        <v>1364374</v>
      </c>
      <c r="H145" s="1041"/>
      <c r="I145" s="1041">
        <v>0</v>
      </c>
      <c r="J145" s="1041">
        <v>1364374.485</v>
      </c>
      <c r="K145" s="1041">
        <v>0</v>
      </c>
      <c r="L145" s="1041">
        <v>0</v>
      </c>
      <c r="M145" s="1041">
        <v>0</v>
      </c>
      <c r="N145" s="1041"/>
      <c r="O145" s="838">
        <v>0</v>
      </c>
      <c r="P145" s="838">
        <v>1234403.87</v>
      </c>
      <c r="Q145" s="838">
        <v>0</v>
      </c>
      <c r="R145" s="838">
        <v>0</v>
      </c>
      <c r="S145" s="838">
        <v>0</v>
      </c>
      <c r="T145" s="1041"/>
      <c r="U145" s="838">
        <v>0</v>
      </c>
      <c r="V145" s="838">
        <v>1494345.1</v>
      </c>
      <c r="W145" s="838">
        <v>0</v>
      </c>
      <c r="X145" s="838">
        <v>0</v>
      </c>
      <c r="Y145">
        <v>0</v>
      </c>
    </row>
    <row r="146" spans="1:25" ht="12.75">
      <c r="A146" s="1072">
        <f t="shared" si="6"/>
        <v>9.539999999999988</v>
      </c>
      <c r="B146" s="838" t="s">
        <v>1217</v>
      </c>
      <c r="C146" s="1041">
        <v>0</v>
      </c>
      <c r="D146" s="1041">
        <v>0</v>
      </c>
      <c r="E146" s="1041"/>
      <c r="F146" s="1041"/>
      <c r="G146" s="1041">
        <f t="shared" si="5"/>
        <v>0</v>
      </c>
      <c r="H146" s="1041"/>
      <c r="I146" s="1041">
        <v>0</v>
      </c>
      <c r="J146" s="1041">
        <v>0</v>
      </c>
      <c r="K146" s="1041">
        <v>0</v>
      </c>
      <c r="L146" s="1041">
        <v>0</v>
      </c>
      <c r="M146" s="1041">
        <v>0</v>
      </c>
      <c r="N146" s="1041"/>
      <c r="O146" s="838">
        <v>0</v>
      </c>
      <c r="P146" s="838">
        <v>0</v>
      </c>
      <c r="Q146" s="838">
        <v>0</v>
      </c>
      <c r="R146" s="838">
        <v>0</v>
      </c>
      <c r="S146" s="838">
        <v>0</v>
      </c>
      <c r="T146" s="1041"/>
      <c r="U146" s="838">
        <v>0</v>
      </c>
      <c r="V146" s="838">
        <v>0</v>
      </c>
      <c r="W146" s="838">
        <v>0</v>
      </c>
      <c r="X146" s="838">
        <v>0</v>
      </c>
      <c r="Y146">
        <v>0</v>
      </c>
    </row>
    <row r="147" spans="1:25" ht="12.75">
      <c r="A147" s="1072">
        <f t="shared" si="6"/>
        <v>9.549999999999988</v>
      </c>
      <c r="B147" s="838" t="s">
        <v>1218</v>
      </c>
      <c r="C147" s="1041">
        <v>0</v>
      </c>
      <c r="D147" s="1041">
        <v>0</v>
      </c>
      <c r="E147" s="1041"/>
      <c r="F147" s="1041"/>
      <c r="G147" s="1041">
        <f t="shared" si="5"/>
        <v>0</v>
      </c>
      <c r="H147" s="1041"/>
      <c r="I147" s="1041">
        <v>0</v>
      </c>
      <c r="J147" s="1041">
        <v>0</v>
      </c>
      <c r="K147" s="1041">
        <v>0</v>
      </c>
      <c r="L147" s="1041">
        <v>0</v>
      </c>
      <c r="M147" s="1041">
        <v>0</v>
      </c>
      <c r="N147" s="1041"/>
      <c r="O147" s="838">
        <v>0</v>
      </c>
      <c r="P147" s="838">
        <v>0</v>
      </c>
      <c r="Q147" s="838">
        <v>0</v>
      </c>
      <c r="R147" s="838">
        <v>0</v>
      </c>
      <c r="S147" s="838">
        <v>0</v>
      </c>
      <c r="T147" s="1041"/>
      <c r="U147" s="838">
        <v>0</v>
      </c>
      <c r="V147" s="838">
        <v>0</v>
      </c>
      <c r="W147" s="838">
        <v>0</v>
      </c>
      <c r="X147" s="838">
        <v>0</v>
      </c>
      <c r="Y147">
        <v>0</v>
      </c>
    </row>
    <row r="148" spans="1:25" ht="12.75">
      <c r="A148" s="1072">
        <f t="shared" si="6"/>
        <v>9.559999999999988</v>
      </c>
      <c r="B148" s="838" t="s">
        <v>1219</v>
      </c>
      <c r="C148" s="1041">
        <v>511297.32</v>
      </c>
      <c r="D148" s="1041">
        <v>-0.01</v>
      </c>
      <c r="E148" s="1041"/>
      <c r="F148" s="1041"/>
      <c r="G148" s="1041">
        <f>ROUND(SUM(C148:F148)/2,0)</f>
        <v>255649</v>
      </c>
      <c r="H148" s="1041"/>
      <c r="I148" s="1041">
        <v>255648.655</v>
      </c>
      <c r="J148" s="1041">
        <v>0</v>
      </c>
      <c r="K148" s="1041">
        <v>0</v>
      </c>
      <c r="L148" s="1041">
        <v>0</v>
      </c>
      <c r="M148" s="1041">
        <v>0</v>
      </c>
      <c r="N148" s="1041"/>
      <c r="O148" s="838">
        <v>511297.32</v>
      </c>
      <c r="P148" s="838">
        <v>0</v>
      </c>
      <c r="Q148" s="838">
        <v>0</v>
      </c>
      <c r="R148" s="838">
        <v>0</v>
      </c>
      <c r="S148" s="838">
        <v>0</v>
      </c>
      <c r="T148" s="1041"/>
      <c r="U148" s="838">
        <v>-0.01</v>
      </c>
      <c r="V148" s="838">
        <v>0</v>
      </c>
      <c r="W148" s="838">
        <v>0</v>
      </c>
      <c r="X148" s="838">
        <v>0</v>
      </c>
      <c r="Y148">
        <v>0</v>
      </c>
    </row>
    <row r="149" spans="1:25" ht="12.75">
      <c r="A149" s="1072">
        <f t="shared" si="6"/>
        <v>9.569999999999988</v>
      </c>
      <c r="B149" s="838" t="s">
        <v>1220</v>
      </c>
      <c r="C149" s="1041">
        <v>62037.65</v>
      </c>
      <c r="D149" s="1041">
        <v>3130.44</v>
      </c>
      <c r="E149" s="1041"/>
      <c r="F149" s="1041"/>
      <c r="G149" s="1041">
        <f>ROUND(SUM(C149:F149)/2,0)</f>
        <v>32584</v>
      </c>
      <c r="H149" s="1041"/>
      <c r="I149" s="1041">
        <v>32584.045000000002</v>
      </c>
      <c r="J149" s="1041">
        <v>0</v>
      </c>
      <c r="K149" s="1041">
        <v>0</v>
      </c>
      <c r="L149" s="1041">
        <v>0</v>
      </c>
      <c r="M149" s="1041">
        <v>0</v>
      </c>
      <c r="N149" s="1041"/>
      <c r="O149" s="838">
        <v>62037.65</v>
      </c>
      <c r="P149" s="838">
        <v>0</v>
      </c>
      <c r="Q149" s="838">
        <v>0</v>
      </c>
      <c r="R149" s="838">
        <v>0</v>
      </c>
      <c r="S149" s="838">
        <v>0</v>
      </c>
      <c r="T149" s="1041"/>
      <c r="U149" s="838">
        <v>3130.44</v>
      </c>
      <c r="V149" s="838">
        <v>0</v>
      </c>
      <c r="W149" s="838">
        <v>0</v>
      </c>
      <c r="X149" s="838">
        <v>0</v>
      </c>
      <c r="Y149">
        <v>0</v>
      </c>
    </row>
    <row r="150" spans="1:25" ht="12.75">
      <c r="A150" s="1072">
        <f t="shared" si="6"/>
        <v>9.579999999999988</v>
      </c>
      <c r="B150" s="838" t="s">
        <v>1221</v>
      </c>
      <c r="C150" s="1041">
        <v>-23650.77</v>
      </c>
      <c r="D150" s="1041">
        <v>0</v>
      </c>
      <c r="E150" s="1041"/>
      <c r="F150" s="1041"/>
      <c r="G150" s="1041">
        <f>ROUND(SUM(C150:F150)/2,0)</f>
        <v>-11825</v>
      </c>
      <c r="H150" s="1041"/>
      <c r="I150" s="1041">
        <v>-11825.385</v>
      </c>
      <c r="J150" s="1041">
        <v>0</v>
      </c>
      <c r="K150" s="1041">
        <v>0</v>
      </c>
      <c r="L150" s="1041">
        <v>0</v>
      </c>
      <c r="M150" s="1041">
        <v>0</v>
      </c>
      <c r="N150" s="1041"/>
      <c r="O150" s="838">
        <v>-23650.77</v>
      </c>
      <c r="P150" s="838">
        <v>0</v>
      </c>
      <c r="Q150" s="838">
        <v>0</v>
      </c>
      <c r="R150" s="838">
        <v>0</v>
      </c>
      <c r="S150" s="838">
        <v>0</v>
      </c>
      <c r="T150" s="1041"/>
      <c r="U150" s="838">
        <v>0</v>
      </c>
      <c r="V150" s="838">
        <v>0</v>
      </c>
      <c r="W150" s="838">
        <v>0</v>
      </c>
      <c r="X150" s="838">
        <v>0</v>
      </c>
      <c r="Y150">
        <v>0</v>
      </c>
    </row>
    <row r="151" spans="1:25" ht="12.75">
      <c r="A151" s="1072">
        <f t="shared" si="6"/>
        <v>9.589999999999987</v>
      </c>
      <c r="B151" s="838" t="s">
        <v>1222</v>
      </c>
      <c r="C151" s="1041">
        <v>2222027.39</v>
      </c>
      <c r="D151" s="1041">
        <v>2117049.73</v>
      </c>
      <c r="E151" s="1041"/>
      <c r="F151" s="1041"/>
      <c r="G151" s="1041">
        <f aca="true" t="shared" si="7" ref="G151:G213">ROUND(SUM(C151:F151)/2,0)</f>
        <v>2169539</v>
      </c>
      <c r="H151" s="1041"/>
      <c r="I151" s="1041">
        <v>0</v>
      </c>
      <c r="J151" s="1041">
        <v>2169538.56</v>
      </c>
      <c r="K151" s="1041">
        <v>0</v>
      </c>
      <c r="L151" s="1041">
        <v>0</v>
      </c>
      <c r="M151" s="1041">
        <v>0</v>
      </c>
      <c r="N151" s="1041"/>
      <c r="O151" s="838">
        <v>0</v>
      </c>
      <c r="P151" s="838">
        <v>2222027.39</v>
      </c>
      <c r="Q151" s="838">
        <v>0</v>
      </c>
      <c r="R151" s="838">
        <v>0</v>
      </c>
      <c r="S151" s="838">
        <v>0</v>
      </c>
      <c r="T151" s="1041"/>
      <c r="U151" s="838">
        <v>0</v>
      </c>
      <c r="V151" s="838">
        <v>2117049.73</v>
      </c>
      <c r="W151" s="838">
        <v>0</v>
      </c>
      <c r="X151" s="838">
        <v>0</v>
      </c>
      <c r="Y151">
        <v>0</v>
      </c>
    </row>
    <row r="152" spans="1:25" ht="12.75">
      <c r="A152" s="1072">
        <f t="shared" si="6"/>
        <v>9.599999999999987</v>
      </c>
      <c r="B152" s="838" t="s">
        <v>1223</v>
      </c>
      <c r="C152" s="1041">
        <v>437548.57</v>
      </c>
      <c r="D152" s="1041">
        <v>807564.59</v>
      </c>
      <c r="E152" s="1041"/>
      <c r="F152" s="1041"/>
      <c r="G152" s="1041">
        <f t="shared" si="7"/>
        <v>622557</v>
      </c>
      <c r="H152" s="1041"/>
      <c r="I152" s="1041">
        <v>0</v>
      </c>
      <c r="J152" s="1041">
        <v>622556.58</v>
      </c>
      <c r="K152" s="1041">
        <v>0</v>
      </c>
      <c r="L152" s="1041">
        <v>0</v>
      </c>
      <c r="M152" s="1041">
        <v>0</v>
      </c>
      <c r="N152" s="1041"/>
      <c r="O152" s="838">
        <v>0</v>
      </c>
      <c r="P152" s="838">
        <v>437548.57</v>
      </c>
      <c r="Q152" s="838">
        <v>0</v>
      </c>
      <c r="R152" s="838">
        <v>0</v>
      </c>
      <c r="S152" s="838">
        <v>0</v>
      </c>
      <c r="T152" s="1041"/>
      <c r="U152" s="838">
        <v>0</v>
      </c>
      <c r="V152" s="838">
        <v>807564.59</v>
      </c>
      <c r="W152" s="838">
        <v>0</v>
      </c>
      <c r="X152" s="838">
        <v>0</v>
      </c>
      <c r="Y152">
        <v>0</v>
      </c>
    </row>
    <row r="153" spans="1:25" ht="12.75">
      <c r="A153" s="1072">
        <f t="shared" si="6"/>
        <v>9.609999999999987</v>
      </c>
      <c r="B153" s="838" t="s">
        <v>1224</v>
      </c>
      <c r="C153" s="1041">
        <v>3383967.87</v>
      </c>
      <c r="D153" s="1041">
        <v>6174537.58</v>
      </c>
      <c r="E153" s="1041"/>
      <c r="F153" s="1041"/>
      <c r="G153" s="1041">
        <f t="shared" si="7"/>
        <v>4779253</v>
      </c>
      <c r="H153" s="1041"/>
      <c r="I153" s="1041">
        <v>0</v>
      </c>
      <c r="J153" s="1041">
        <v>4779252.725</v>
      </c>
      <c r="K153" s="1041">
        <v>0</v>
      </c>
      <c r="L153" s="1041">
        <v>0</v>
      </c>
      <c r="M153" s="1041">
        <v>0</v>
      </c>
      <c r="N153" s="1041"/>
      <c r="O153" s="838">
        <v>0</v>
      </c>
      <c r="P153" s="838">
        <v>3383967.87</v>
      </c>
      <c r="Q153" s="838">
        <v>0</v>
      </c>
      <c r="R153" s="838">
        <v>0</v>
      </c>
      <c r="S153" s="838">
        <v>0</v>
      </c>
      <c r="T153" s="1041"/>
      <c r="U153" s="838">
        <v>0</v>
      </c>
      <c r="V153" s="838">
        <v>6174537.58</v>
      </c>
      <c r="W153" s="838">
        <v>0</v>
      </c>
      <c r="X153" s="838">
        <v>0</v>
      </c>
      <c r="Y153">
        <v>0</v>
      </c>
    </row>
    <row r="154" spans="1:25" ht="12.75">
      <c r="A154" s="1072">
        <f t="shared" si="6"/>
        <v>9.619999999999987</v>
      </c>
      <c r="B154" s="838" t="s">
        <v>1225</v>
      </c>
      <c r="C154" s="1041">
        <v>-1285627.42</v>
      </c>
      <c r="D154" s="1041">
        <v>-2345812.81</v>
      </c>
      <c r="E154" s="1041"/>
      <c r="F154" s="1041"/>
      <c r="G154" s="1041">
        <f t="shared" si="7"/>
        <v>-1815720</v>
      </c>
      <c r="H154" s="1041"/>
      <c r="I154" s="1041">
        <v>0</v>
      </c>
      <c r="J154" s="1041">
        <v>-1815720.115</v>
      </c>
      <c r="K154" s="1041">
        <v>0</v>
      </c>
      <c r="L154" s="1041">
        <v>0</v>
      </c>
      <c r="M154" s="1041">
        <v>0</v>
      </c>
      <c r="N154" s="1041"/>
      <c r="O154" s="838">
        <v>0</v>
      </c>
      <c r="P154" s="838">
        <v>-1285627.42</v>
      </c>
      <c r="Q154" s="838">
        <v>0</v>
      </c>
      <c r="R154" s="838">
        <v>0</v>
      </c>
      <c r="S154" s="838">
        <v>0</v>
      </c>
      <c r="T154" s="1041"/>
      <c r="U154" s="838">
        <v>0</v>
      </c>
      <c r="V154" s="838">
        <v>-2345812.81</v>
      </c>
      <c r="W154" s="838">
        <v>0</v>
      </c>
      <c r="X154" s="838">
        <v>0</v>
      </c>
      <c r="Y154">
        <v>0</v>
      </c>
    </row>
    <row r="155" spans="1:25" ht="12.75">
      <c r="A155" s="1072">
        <f t="shared" si="6"/>
        <v>9.629999999999987</v>
      </c>
      <c r="B155" s="838" t="s">
        <v>1226</v>
      </c>
      <c r="C155" s="1041">
        <v>-1601471.62</v>
      </c>
      <c r="D155" s="1041">
        <v>-2019246.96</v>
      </c>
      <c r="E155" s="1041"/>
      <c r="F155" s="1041"/>
      <c r="G155" s="1041">
        <f t="shared" si="7"/>
        <v>-1810359</v>
      </c>
      <c r="H155" s="1041"/>
      <c r="I155" s="1041">
        <v>0</v>
      </c>
      <c r="J155" s="1041">
        <v>-1810359.29</v>
      </c>
      <c r="K155" s="1041">
        <v>0</v>
      </c>
      <c r="L155" s="1041">
        <v>0</v>
      </c>
      <c r="M155" s="1041">
        <v>0</v>
      </c>
      <c r="N155" s="1041"/>
      <c r="O155" s="838">
        <v>0</v>
      </c>
      <c r="P155" s="838">
        <v>-1601471.62</v>
      </c>
      <c r="Q155" s="838">
        <v>0</v>
      </c>
      <c r="R155" s="838">
        <v>0</v>
      </c>
      <c r="S155" s="838">
        <v>0</v>
      </c>
      <c r="T155" s="1041"/>
      <c r="U155" s="838">
        <v>0</v>
      </c>
      <c r="V155" s="838">
        <v>-2019246.96</v>
      </c>
      <c r="W155" s="838">
        <v>0</v>
      </c>
      <c r="X155" s="838">
        <v>0</v>
      </c>
      <c r="Y155">
        <v>0</v>
      </c>
    </row>
    <row r="156" spans="1:25" ht="12.75">
      <c r="A156" s="1072">
        <f t="shared" si="6"/>
        <v>9.639999999999986</v>
      </c>
      <c r="B156" s="838" t="s">
        <v>1227</v>
      </c>
      <c r="C156" s="1438">
        <v>4556095.72</v>
      </c>
      <c r="D156" s="1438">
        <v>5744642.84</v>
      </c>
      <c r="E156" s="1438"/>
      <c r="F156" s="1438"/>
      <c r="G156" s="1438">
        <f t="shared" si="7"/>
        <v>5150369</v>
      </c>
      <c r="H156" s="1438"/>
      <c r="I156" s="1438">
        <v>0</v>
      </c>
      <c r="J156" s="1438">
        <v>5150369.279999999</v>
      </c>
      <c r="K156" s="1438">
        <v>0</v>
      </c>
      <c r="L156" s="1438">
        <v>0</v>
      </c>
      <c r="M156" s="1438">
        <v>0</v>
      </c>
      <c r="N156" s="1438"/>
      <c r="O156" s="1439">
        <v>0</v>
      </c>
      <c r="P156" s="1439">
        <v>4556095.72</v>
      </c>
      <c r="Q156" s="1439">
        <v>0</v>
      </c>
      <c r="R156" s="1439">
        <v>0</v>
      </c>
      <c r="S156" s="1439">
        <v>0</v>
      </c>
      <c r="T156" s="1438"/>
      <c r="U156" s="1439">
        <v>0</v>
      </c>
      <c r="V156" s="1439">
        <v>5744642.84</v>
      </c>
      <c r="W156" s="1439">
        <v>0</v>
      </c>
      <c r="X156" s="1439">
        <v>0</v>
      </c>
      <c r="Y156" s="1352">
        <v>0</v>
      </c>
    </row>
    <row r="157" spans="1:25" ht="12.75">
      <c r="A157" s="1072">
        <f>A156+0.01</f>
        <v>9.649999999999986</v>
      </c>
      <c r="B157" s="838" t="s">
        <v>1228</v>
      </c>
      <c r="C157" s="1041">
        <v>82511.3</v>
      </c>
      <c r="D157" s="1041">
        <v>109404.02</v>
      </c>
      <c r="E157" s="1041"/>
      <c r="F157" s="1041"/>
      <c r="G157" s="1041">
        <f t="shared" si="7"/>
        <v>95958</v>
      </c>
      <c r="H157" s="1041"/>
      <c r="I157" s="1041">
        <v>95957.66</v>
      </c>
      <c r="J157" s="1041">
        <v>0</v>
      </c>
      <c r="K157" s="1041">
        <v>0</v>
      </c>
      <c r="L157" s="1041">
        <v>0</v>
      </c>
      <c r="M157" s="1041">
        <v>0</v>
      </c>
      <c r="N157" s="1041"/>
      <c r="O157" s="838">
        <v>82511.3</v>
      </c>
      <c r="P157" s="838">
        <v>0</v>
      </c>
      <c r="Q157" s="838">
        <v>0</v>
      </c>
      <c r="R157" s="838">
        <v>0</v>
      </c>
      <c r="S157" s="838">
        <v>0</v>
      </c>
      <c r="T157" s="1041"/>
      <c r="U157" s="838">
        <v>109404.02</v>
      </c>
      <c r="V157" s="838">
        <v>0</v>
      </c>
      <c r="W157" s="838">
        <v>0</v>
      </c>
      <c r="X157" s="838">
        <v>0</v>
      </c>
      <c r="Y157">
        <v>0</v>
      </c>
    </row>
    <row r="158" spans="1:25" ht="12.75">
      <c r="A158" s="1072">
        <f t="shared" si="6"/>
        <v>9.659999999999986</v>
      </c>
      <c r="B158" s="838" t="s">
        <v>1229</v>
      </c>
      <c r="C158" s="1041">
        <v>942630.24</v>
      </c>
      <c r="D158" s="1041">
        <v>1486063.63</v>
      </c>
      <c r="E158" s="1041"/>
      <c r="F158" s="1041"/>
      <c r="G158" s="1041">
        <f t="shared" si="7"/>
        <v>1214347</v>
      </c>
      <c r="H158" s="1041"/>
      <c r="I158" s="1041">
        <v>1214346.935</v>
      </c>
      <c r="J158" s="1041">
        <v>0</v>
      </c>
      <c r="K158" s="1041">
        <v>0</v>
      </c>
      <c r="L158" s="1041">
        <v>0</v>
      </c>
      <c r="M158" s="1041">
        <v>0</v>
      </c>
      <c r="N158" s="1041"/>
      <c r="O158" s="838">
        <v>942630.24</v>
      </c>
      <c r="P158" s="838">
        <v>0</v>
      </c>
      <c r="Q158" s="838">
        <v>0</v>
      </c>
      <c r="R158" s="838">
        <v>0</v>
      </c>
      <c r="S158" s="838">
        <v>0</v>
      </c>
      <c r="T158" s="1041"/>
      <c r="U158" s="838">
        <v>1486063.63</v>
      </c>
      <c r="V158" s="838">
        <v>0</v>
      </c>
      <c r="W158" s="838">
        <v>0</v>
      </c>
      <c r="X158" s="838">
        <v>0</v>
      </c>
      <c r="Y158">
        <v>0</v>
      </c>
    </row>
    <row r="159" spans="1:25" ht="12.75">
      <c r="A159" s="1072">
        <f aca="true" t="shared" si="8" ref="A159:A212">A158+0.01</f>
        <v>9.669999999999986</v>
      </c>
      <c r="B159" s="838" t="s">
        <v>1230</v>
      </c>
      <c r="C159" s="1041">
        <v>0</v>
      </c>
      <c r="D159" s="1041">
        <v>1883</v>
      </c>
      <c r="E159" s="1041"/>
      <c r="F159" s="1041"/>
      <c r="G159" s="1041">
        <f t="shared" si="7"/>
        <v>942</v>
      </c>
      <c r="H159" s="1041"/>
      <c r="I159" s="1041">
        <v>941.5</v>
      </c>
      <c r="J159" s="1041">
        <v>0</v>
      </c>
      <c r="K159" s="1041">
        <v>0</v>
      </c>
      <c r="L159" s="1041">
        <v>0</v>
      </c>
      <c r="M159" s="1041">
        <v>0</v>
      </c>
      <c r="N159" s="1041"/>
      <c r="O159" s="838">
        <v>0</v>
      </c>
      <c r="P159" s="838">
        <v>0</v>
      </c>
      <c r="Q159" s="838">
        <v>0</v>
      </c>
      <c r="R159" s="838">
        <v>0</v>
      </c>
      <c r="S159" s="838">
        <v>0</v>
      </c>
      <c r="T159" s="1041"/>
      <c r="U159" s="838">
        <v>1883</v>
      </c>
      <c r="V159" s="838">
        <v>0</v>
      </c>
      <c r="W159" s="838">
        <v>0</v>
      </c>
      <c r="X159" s="838">
        <v>0</v>
      </c>
      <c r="Y159">
        <v>0</v>
      </c>
    </row>
    <row r="160" spans="1:25" ht="12.75">
      <c r="A160" s="1072">
        <f t="shared" si="8"/>
        <v>9.679999999999986</v>
      </c>
      <c r="B160" s="838" t="s">
        <v>1231</v>
      </c>
      <c r="C160" s="1041">
        <v>32387.16</v>
      </c>
      <c r="D160" s="1041">
        <v>0</v>
      </c>
      <c r="E160" s="1041"/>
      <c r="F160" s="1041"/>
      <c r="G160" s="1041">
        <f t="shared" si="7"/>
        <v>16194</v>
      </c>
      <c r="H160" s="1041"/>
      <c r="I160" s="1041">
        <v>16193.58</v>
      </c>
      <c r="J160" s="1041">
        <v>0</v>
      </c>
      <c r="K160" s="1041">
        <v>0</v>
      </c>
      <c r="L160" s="1041">
        <v>0</v>
      </c>
      <c r="M160" s="1041">
        <v>0</v>
      </c>
      <c r="N160" s="1041"/>
      <c r="O160" s="838">
        <v>32387.16</v>
      </c>
      <c r="P160" s="838">
        <v>0</v>
      </c>
      <c r="Q160" s="838">
        <v>0</v>
      </c>
      <c r="R160" s="838">
        <v>0</v>
      </c>
      <c r="S160" s="838">
        <v>0</v>
      </c>
      <c r="T160" s="1041"/>
      <c r="U160" s="838">
        <v>0</v>
      </c>
      <c r="V160" s="838">
        <v>0</v>
      </c>
      <c r="W160" s="838">
        <v>0</v>
      </c>
      <c r="X160" s="838">
        <v>0</v>
      </c>
      <c r="Y160">
        <v>0</v>
      </c>
    </row>
    <row r="161" spans="1:25" ht="12.75">
      <c r="A161" s="1072">
        <f t="shared" si="8"/>
        <v>9.689999999999985</v>
      </c>
      <c r="B161" s="838" t="s">
        <v>1232</v>
      </c>
      <c r="C161" s="1041">
        <v>-12785.98</v>
      </c>
      <c r="D161" s="1041">
        <v>0</v>
      </c>
      <c r="E161" s="1041"/>
      <c r="F161" s="1041"/>
      <c r="G161" s="1041">
        <f t="shared" si="7"/>
        <v>-6393</v>
      </c>
      <c r="H161" s="1041"/>
      <c r="I161" s="1041">
        <v>-6392.99</v>
      </c>
      <c r="J161" s="1041">
        <v>0</v>
      </c>
      <c r="K161" s="1041">
        <v>0</v>
      </c>
      <c r="L161" s="1041">
        <v>0</v>
      </c>
      <c r="M161" s="1041">
        <v>0</v>
      </c>
      <c r="N161" s="1041"/>
      <c r="O161" s="838">
        <v>-12785.98</v>
      </c>
      <c r="P161" s="838">
        <v>0</v>
      </c>
      <c r="Q161" s="838">
        <v>0</v>
      </c>
      <c r="R161" s="838">
        <v>0</v>
      </c>
      <c r="S161" s="838">
        <v>0</v>
      </c>
      <c r="T161" s="1041"/>
      <c r="U161" s="838">
        <v>0</v>
      </c>
      <c r="V161" s="838">
        <v>0</v>
      </c>
      <c r="W161" s="838">
        <v>0</v>
      </c>
      <c r="X161" s="838">
        <v>0</v>
      </c>
      <c r="Y161">
        <v>0</v>
      </c>
    </row>
    <row r="162" spans="1:25" ht="12.75">
      <c r="A162" s="1072">
        <f t="shared" si="8"/>
        <v>9.699999999999985</v>
      </c>
      <c r="B162" s="838" t="s">
        <v>1233</v>
      </c>
      <c r="C162" s="1041">
        <v>16310.02</v>
      </c>
      <c r="D162" s="1041">
        <v>0</v>
      </c>
      <c r="E162" s="1041"/>
      <c r="F162" s="1041"/>
      <c r="G162" s="1041">
        <f t="shared" si="7"/>
        <v>8155</v>
      </c>
      <c r="H162" s="1041"/>
      <c r="I162" s="1041">
        <v>8155.01</v>
      </c>
      <c r="J162" s="1041">
        <v>0</v>
      </c>
      <c r="K162" s="1041">
        <v>0</v>
      </c>
      <c r="L162" s="1041">
        <v>0</v>
      </c>
      <c r="M162" s="1041">
        <v>0</v>
      </c>
      <c r="N162" s="1041"/>
      <c r="O162" s="838">
        <v>16310.02</v>
      </c>
      <c r="P162" s="838">
        <v>0</v>
      </c>
      <c r="Q162" s="838">
        <v>0</v>
      </c>
      <c r="R162" s="838">
        <v>0</v>
      </c>
      <c r="S162" s="838">
        <v>0</v>
      </c>
      <c r="T162" s="1041"/>
      <c r="U162" s="838">
        <v>0</v>
      </c>
      <c r="V162" s="838">
        <v>0</v>
      </c>
      <c r="W162" s="838">
        <v>0</v>
      </c>
      <c r="X162" s="838">
        <v>0</v>
      </c>
      <c r="Y162">
        <v>0</v>
      </c>
    </row>
    <row r="163" spans="1:25" ht="12.75">
      <c r="A163" s="1072">
        <f t="shared" si="8"/>
        <v>9.709999999999985</v>
      </c>
      <c r="B163" s="838" t="s">
        <v>1234</v>
      </c>
      <c r="C163" s="1041">
        <v>11552.03</v>
      </c>
      <c r="D163" s="1041">
        <v>231198.74</v>
      </c>
      <c r="E163" s="1041"/>
      <c r="F163" s="1041"/>
      <c r="G163" s="1041">
        <f t="shared" si="7"/>
        <v>121375</v>
      </c>
      <c r="H163" s="1041"/>
      <c r="I163" s="1041">
        <v>121375.385</v>
      </c>
      <c r="J163" s="1041">
        <v>0</v>
      </c>
      <c r="K163" s="1041">
        <v>0</v>
      </c>
      <c r="L163" s="1041">
        <v>0</v>
      </c>
      <c r="M163" s="1041">
        <v>0</v>
      </c>
      <c r="N163" s="1041"/>
      <c r="O163" s="838">
        <v>11552.03</v>
      </c>
      <c r="P163" s="838">
        <v>0</v>
      </c>
      <c r="Q163" s="838">
        <v>0</v>
      </c>
      <c r="R163" s="838">
        <v>0</v>
      </c>
      <c r="S163" s="838">
        <v>0</v>
      </c>
      <c r="T163" s="1041"/>
      <c r="U163" s="838">
        <v>231198.74</v>
      </c>
      <c r="V163" s="838">
        <v>0</v>
      </c>
      <c r="W163" s="838">
        <v>0</v>
      </c>
      <c r="X163" s="838">
        <v>0</v>
      </c>
      <c r="Y163">
        <v>0</v>
      </c>
    </row>
    <row r="164" spans="1:25" ht="12.75">
      <c r="A164" s="1072">
        <f t="shared" si="8"/>
        <v>9.719999999999985</v>
      </c>
      <c r="B164" s="838" t="s">
        <v>1235</v>
      </c>
      <c r="C164" s="1041">
        <v>19201.52</v>
      </c>
      <c r="D164" s="1041">
        <v>0</v>
      </c>
      <c r="E164" s="1041"/>
      <c r="F164" s="1041"/>
      <c r="G164" s="1041">
        <f t="shared" si="7"/>
        <v>9601</v>
      </c>
      <c r="H164" s="1041"/>
      <c r="I164" s="1041">
        <v>9600.76</v>
      </c>
      <c r="J164" s="1041">
        <v>0</v>
      </c>
      <c r="K164" s="1041">
        <v>0</v>
      </c>
      <c r="L164" s="1041">
        <v>0</v>
      </c>
      <c r="M164" s="1041">
        <v>0</v>
      </c>
      <c r="N164" s="1041"/>
      <c r="O164" s="838">
        <v>19201.52</v>
      </c>
      <c r="P164" s="838">
        <v>0</v>
      </c>
      <c r="Q164" s="838">
        <v>0</v>
      </c>
      <c r="R164" s="838">
        <v>0</v>
      </c>
      <c r="S164" s="838">
        <v>0</v>
      </c>
      <c r="T164" s="1041"/>
      <c r="U164" s="838">
        <v>0</v>
      </c>
      <c r="V164" s="838">
        <v>0</v>
      </c>
      <c r="W164" s="838">
        <v>0</v>
      </c>
      <c r="X164" s="838">
        <v>0</v>
      </c>
      <c r="Y164">
        <v>0</v>
      </c>
    </row>
    <row r="165" spans="1:25" ht="12.75">
      <c r="A165" s="1072">
        <f t="shared" si="8"/>
        <v>9.729999999999984</v>
      </c>
      <c r="B165" s="838" t="s">
        <v>1236</v>
      </c>
      <c r="C165" s="1041">
        <v>-83085.17</v>
      </c>
      <c r="D165" s="1041">
        <v>0</v>
      </c>
      <c r="E165" s="1041"/>
      <c r="F165" s="1041"/>
      <c r="G165" s="1041">
        <f t="shared" si="7"/>
        <v>-41543</v>
      </c>
      <c r="H165" s="1041"/>
      <c r="I165" s="1041">
        <v>-41542.585</v>
      </c>
      <c r="J165" s="1041">
        <v>0</v>
      </c>
      <c r="K165" s="1041">
        <v>0</v>
      </c>
      <c r="L165" s="1041">
        <v>0</v>
      </c>
      <c r="M165" s="1041">
        <v>0</v>
      </c>
      <c r="N165" s="1041"/>
      <c r="O165" s="838">
        <v>-83085.17</v>
      </c>
      <c r="P165" s="838">
        <v>0</v>
      </c>
      <c r="Q165" s="838">
        <v>0</v>
      </c>
      <c r="R165" s="838">
        <v>0</v>
      </c>
      <c r="S165" s="838">
        <v>0</v>
      </c>
      <c r="T165" s="1041"/>
      <c r="U165" s="838">
        <v>0</v>
      </c>
      <c r="V165" s="838">
        <v>0</v>
      </c>
      <c r="W165" s="838">
        <v>0</v>
      </c>
      <c r="X165" s="838">
        <v>0</v>
      </c>
      <c r="Y165">
        <v>0</v>
      </c>
    </row>
    <row r="166" spans="1:25" ht="12.75">
      <c r="A166" s="1072">
        <f t="shared" si="8"/>
        <v>9.739999999999984</v>
      </c>
      <c r="B166" s="838" t="s">
        <v>1237</v>
      </c>
      <c r="C166" s="1041">
        <v>-14183.6</v>
      </c>
      <c r="D166" s="1041">
        <v>0</v>
      </c>
      <c r="E166" s="1041"/>
      <c r="F166" s="1041"/>
      <c r="G166" s="1041">
        <f t="shared" si="7"/>
        <v>-7092</v>
      </c>
      <c r="H166" s="1041"/>
      <c r="I166" s="1041">
        <v>-7091.8</v>
      </c>
      <c r="J166" s="1041">
        <v>0</v>
      </c>
      <c r="K166" s="1041">
        <v>0</v>
      </c>
      <c r="L166" s="1041">
        <v>0</v>
      </c>
      <c r="M166" s="1041">
        <v>0</v>
      </c>
      <c r="N166" s="1041"/>
      <c r="O166" s="838">
        <v>-14183.6</v>
      </c>
      <c r="P166" s="838">
        <v>0</v>
      </c>
      <c r="Q166" s="838">
        <v>0</v>
      </c>
      <c r="R166" s="838">
        <v>0</v>
      </c>
      <c r="S166" s="838">
        <v>0</v>
      </c>
      <c r="T166" s="1041"/>
      <c r="U166" s="838">
        <v>0</v>
      </c>
      <c r="V166" s="838">
        <v>0</v>
      </c>
      <c r="W166" s="838">
        <v>0</v>
      </c>
      <c r="X166" s="838">
        <v>0</v>
      </c>
      <c r="Y166">
        <v>0</v>
      </c>
    </row>
    <row r="167" spans="1:25" ht="12.75">
      <c r="A167" s="1072">
        <f t="shared" si="8"/>
        <v>9.749999999999984</v>
      </c>
      <c r="B167" s="838" t="s">
        <v>1238</v>
      </c>
      <c r="C167" s="1041">
        <v>-1120.06</v>
      </c>
      <c r="D167" s="1041">
        <v>10205.71</v>
      </c>
      <c r="E167" s="1041"/>
      <c r="F167" s="1041"/>
      <c r="G167" s="1041">
        <f t="shared" si="7"/>
        <v>4543</v>
      </c>
      <c r="H167" s="1041"/>
      <c r="I167" s="1041">
        <v>4542.825</v>
      </c>
      <c r="J167" s="1041">
        <v>0</v>
      </c>
      <c r="K167" s="1041">
        <v>0</v>
      </c>
      <c r="L167" s="1041">
        <v>0</v>
      </c>
      <c r="M167" s="1041">
        <v>0</v>
      </c>
      <c r="N167" s="1041"/>
      <c r="O167" s="838">
        <v>-1120.06</v>
      </c>
      <c r="P167" s="838">
        <v>0</v>
      </c>
      <c r="Q167" s="838">
        <v>0</v>
      </c>
      <c r="R167" s="838">
        <v>0</v>
      </c>
      <c r="S167" s="838">
        <v>0</v>
      </c>
      <c r="T167" s="1041"/>
      <c r="U167" s="838">
        <v>10205.71</v>
      </c>
      <c r="V167" s="838">
        <v>0</v>
      </c>
      <c r="W167" s="838">
        <v>0</v>
      </c>
      <c r="X167" s="838">
        <v>0</v>
      </c>
      <c r="Y167">
        <v>0</v>
      </c>
    </row>
    <row r="168" spans="1:25" ht="12.75">
      <c r="A168" s="1072">
        <f t="shared" si="8"/>
        <v>9.759999999999984</v>
      </c>
      <c r="B168" s="838" t="s">
        <v>1239</v>
      </c>
      <c r="C168" s="1046">
        <v>-9477696.43</v>
      </c>
      <c r="D168" s="1046">
        <v>-9477696.43</v>
      </c>
      <c r="E168" s="1046"/>
      <c r="F168" s="1046"/>
      <c r="G168" s="1046">
        <f t="shared" si="7"/>
        <v>-9477696</v>
      </c>
      <c r="H168" s="1046"/>
      <c r="I168" s="1046">
        <v>-9477696.43</v>
      </c>
      <c r="J168" s="1046">
        <v>0</v>
      </c>
      <c r="K168" s="1046">
        <v>0</v>
      </c>
      <c r="L168" s="1046">
        <v>0</v>
      </c>
      <c r="M168" s="1046">
        <v>0</v>
      </c>
      <c r="N168" s="1046"/>
      <c r="O168" s="1440">
        <v>-9477696.43</v>
      </c>
      <c r="P168" s="1440">
        <v>0</v>
      </c>
      <c r="Q168" s="1440">
        <v>0</v>
      </c>
      <c r="R168" s="1440">
        <v>0</v>
      </c>
      <c r="S168" s="1440">
        <v>0</v>
      </c>
      <c r="T168" s="1046"/>
      <c r="U168" s="1440">
        <v>-9477696.43</v>
      </c>
      <c r="V168" s="1440">
        <v>0</v>
      </c>
      <c r="W168" s="1440">
        <v>0</v>
      </c>
      <c r="X168" s="1440">
        <v>0</v>
      </c>
      <c r="Y168" s="1443">
        <v>0</v>
      </c>
    </row>
    <row r="169" spans="1:25" ht="12.75">
      <c r="A169" s="1072">
        <f t="shared" si="8"/>
        <v>9.769999999999984</v>
      </c>
      <c r="B169" s="838" t="s">
        <v>1240</v>
      </c>
      <c r="C169" s="1041">
        <v>0</v>
      </c>
      <c r="D169" s="1041">
        <v>0</v>
      </c>
      <c r="E169" s="1041"/>
      <c r="F169" s="1041"/>
      <c r="G169" s="1041">
        <f t="shared" si="7"/>
        <v>0</v>
      </c>
      <c r="H169" s="1041"/>
      <c r="I169" s="1041">
        <v>0</v>
      </c>
      <c r="J169" s="1041">
        <v>0</v>
      </c>
      <c r="K169" s="1041">
        <v>0</v>
      </c>
      <c r="L169" s="1041">
        <v>0</v>
      </c>
      <c r="M169" s="1041">
        <v>0</v>
      </c>
      <c r="N169" s="1041"/>
      <c r="O169" s="838">
        <v>0</v>
      </c>
      <c r="P169" s="838">
        <v>0</v>
      </c>
      <c r="Q169" s="838">
        <v>0</v>
      </c>
      <c r="R169" s="838">
        <v>0</v>
      </c>
      <c r="S169" s="838">
        <v>0</v>
      </c>
      <c r="T169" s="1041"/>
      <c r="U169" s="838">
        <v>0</v>
      </c>
      <c r="V169" s="838">
        <v>0</v>
      </c>
      <c r="W169" s="838">
        <v>0</v>
      </c>
      <c r="X169" s="838">
        <v>0</v>
      </c>
      <c r="Y169">
        <v>0</v>
      </c>
    </row>
    <row r="170" spans="1:25" ht="12.75">
      <c r="A170" s="1072">
        <f t="shared" si="8"/>
        <v>9.779999999999983</v>
      </c>
      <c r="B170" s="838" t="s">
        <v>1241</v>
      </c>
      <c r="C170" s="1041">
        <v>0</v>
      </c>
      <c r="D170" s="1041">
        <v>0</v>
      </c>
      <c r="E170" s="1041"/>
      <c r="F170" s="1041"/>
      <c r="G170" s="1041">
        <f t="shared" si="7"/>
        <v>0</v>
      </c>
      <c r="H170" s="1041"/>
      <c r="I170" s="1041">
        <v>0</v>
      </c>
      <c r="J170" s="1041">
        <v>0</v>
      </c>
      <c r="K170" s="1041">
        <v>0</v>
      </c>
      <c r="L170" s="1041">
        <v>0</v>
      </c>
      <c r="M170" s="1041">
        <v>0</v>
      </c>
      <c r="N170" s="1041"/>
      <c r="O170" s="838">
        <v>0</v>
      </c>
      <c r="P170" s="838">
        <v>0</v>
      </c>
      <c r="Q170" s="838">
        <v>0</v>
      </c>
      <c r="R170" s="838">
        <v>0</v>
      </c>
      <c r="S170" s="838">
        <v>0</v>
      </c>
      <c r="T170" s="1041"/>
      <c r="U170" s="838">
        <v>0</v>
      </c>
      <c r="V170" s="838">
        <v>0</v>
      </c>
      <c r="W170" s="838">
        <v>0</v>
      </c>
      <c r="X170" s="838">
        <v>0</v>
      </c>
      <c r="Y170">
        <v>0</v>
      </c>
    </row>
    <row r="171" spans="1:25" ht="12.75">
      <c r="A171" s="1072">
        <f t="shared" si="8"/>
        <v>9.789999999999983</v>
      </c>
      <c r="B171" s="838" t="s">
        <v>1242</v>
      </c>
      <c r="C171" s="1041">
        <v>312966.85</v>
      </c>
      <c r="D171" s="1041">
        <v>502248.95</v>
      </c>
      <c r="E171" s="1041"/>
      <c r="F171" s="1041"/>
      <c r="G171" s="1041">
        <f t="shared" si="7"/>
        <v>407608</v>
      </c>
      <c r="H171" s="1041"/>
      <c r="I171" s="1041">
        <v>0</v>
      </c>
      <c r="J171" s="1041">
        <v>407607.9</v>
      </c>
      <c r="K171" s="1041">
        <v>0</v>
      </c>
      <c r="L171" s="1041">
        <v>0</v>
      </c>
      <c r="M171" s="1041">
        <v>0</v>
      </c>
      <c r="N171" s="1041"/>
      <c r="O171" s="838">
        <v>0</v>
      </c>
      <c r="P171" s="838">
        <v>312966.85</v>
      </c>
      <c r="Q171" s="838">
        <v>0</v>
      </c>
      <c r="R171" s="838">
        <v>0</v>
      </c>
      <c r="S171" s="838">
        <v>0</v>
      </c>
      <c r="T171" s="1041"/>
      <c r="U171" s="838">
        <v>0</v>
      </c>
      <c r="V171" s="838">
        <v>502248.95</v>
      </c>
      <c r="W171" s="838">
        <v>0</v>
      </c>
      <c r="X171" s="838">
        <v>0</v>
      </c>
      <c r="Y171">
        <v>0</v>
      </c>
    </row>
    <row r="172" spans="1:25" ht="12.75">
      <c r="A172" s="1072">
        <f t="shared" si="8"/>
        <v>9.799999999999983</v>
      </c>
      <c r="B172" s="838" t="s">
        <v>1243</v>
      </c>
      <c r="C172" s="1041">
        <v>0</v>
      </c>
      <c r="D172" s="1041">
        <v>0</v>
      </c>
      <c r="E172" s="1041"/>
      <c r="F172" s="1041"/>
      <c r="G172" s="1041">
        <f t="shared" si="7"/>
        <v>0</v>
      </c>
      <c r="H172" s="1041"/>
      <c r="I172" s="1041">
        <v>0</v>
      </c>
      <c r="J172" s="1041">
        <v>0</v>
      </c>
      <c r="K172" s="1041">
        <v>0</v>
      </c>
      <c r="L172" s="1041">
        <v>0</v>
      </c>
      <c r="M172" s="1041">
        <v>0</v>
      </c>
      <c r="N172" s="1041"/>
      <c r="O172" s="838">
        <v>0</v>
      </c>
      <c r="P172" s="838">
        <v>0</v>
      </c>
      <c r="Q172" s="838">
        <v>0</v>
      </c>
      <c r="R172" s="838">
        <v>0</v>
      </c>
      <c r="S172" s="838">
        <v>0</v>
      </c>
      <c r="T172" s="1041"/>
      <c r="U172" s="838">
        <v>0</v>
      </c>
      <c r="V172" s="838">
        <v>0</v>
      </c>
      <c r="W172" s="838">
        <v>0</v>
      </c>
      <c r="X172" s="838">
        <v>0</v>
      </c>
      <c r="Y172">
        <v>0</v>
      </c>
    </row>
    <row r="173" spans="1:25" ht="12.75">
      <c r="A173" s="1072">
        <f t="shared" si="8"/>
        <v>9.809999999999983</v>
      </c>
      <c r="B173" s="838" t="s">
        <v>1244</v>
      </c>
      <c r="C173" s="1041">
        <v>0</v>
      </c>
      <c r="D173" s="1041">
        <v>0</v>
      </c>
      <c r="E173" s="1041"/>
      <c r="F173" s="1041"/>
      <c r="G173" s="1041">
        <f t="shared" si="7"/>
        <v>0</v>
      </c>
      <c r="H173" s="1041"/>
      <c r="I173" s="1041">
        <v>0</v>
      </c>
      <c r="J173" s="1041">
        <v>0</v>
      </c>
      <c r="K173" s="1041">
        <v>0</v>
      </c>
      <c r="L173" s="1041">
        <v>0</v>
      </c>
      <c r="M173" s="1041">
        <v>0</v>
      </c>
      <c r="N173" s="1041"/>
      <c r="O173" s="838">
        <v>0</v>
      </c>
      <c r="P173" s="838">
        <v>0</v>
      </c>
      <c r="Q173" s="838">
        <v>0</v>
      </c>
      <c r="R173" s="838">
        <v>0</v>
      </c>
      <c r="S173" s="838">
        <v>0</v>
      </c>
      <c r="T173" s="1041"/>
      <c r="U173" s="838">
        <v>0</v>
      </c>
      <c r="V173" s="838">
        <v>0</v>
      </c>
      <c r="W173" s="838">
        <v>0</v>
      </c>
      <c r="X173" s="838">
        <v>0</v>
      </c>
      <c r="Y173">
        <v>0</v>
      </c>
    </row>
    <row r="174" spans="1:25" ht="12.75">
      <c r="A174" s="1072">
        <f t="shared" si="8"/>
        <v>9.819999999999983</v>
      </c>
      <c r="B174" s="838" t="s">
        <v>1245</v>
      </c>
      <c r="C174" s="1041">
        <v>145472.35</v>
      </c>
      <c r="D174" s="1041">
        <v>-0.01</v>
      </c>
      <c r="E174" s="1041"/>
      <c r="F174" s="1041"/>
      <c r="G174" s="1041">
        <f t="shared" si="7"/>
        <v>72736</v>
      </c>
      <c r="H174" s="1041"/>
      <c r="I174" s="1041">
        <v>72736.17</v>
      </c>
      <c r="J174" s="1041">
        <v>0</v>
      </c>
      <c r="K174" s="1041">
        <v>0</v>
      </c>
      <c r="L174" s="1041">
        <v>0</v>
      </c>
      <c r="M174" s="1041">
        <v>0</v>
      </c>
      <c r="N174" s="1041"/>
      <c r="O174" s="838">
        <v>145472.35</v>
      </c>
      <c r="P174" s="838">
        <v>0</v>
      </c>
      <c r="Q174" s="838">
        <v>0</v>
      </c>
      <c r="R174" s="838">
        <v>0</v>
      </c>
      <c r="S174" s="838">
        <v>0</v>
      </c>
      <c r="T174" s="1041"/>
      <c r="U174" s="838">
        <v>-0.01</v>
      </c>
      <c r="V174" s="838">
        <v>0</v>
      </c>
      <c r="W174" s="838">
        <v>0</v>
      </c>
      <c r="X174" s="838">
        <v>0</v>
      </c>
      <c r="Y174">
        <v>0</v>
      </c>
    </row>
    <row r="175" spans="1:25" ht="12.75">
      <c r="A175" s="1072">
        <f t="shared" si="8"/>
        <v>9.829999999999982</v>
      </c>
      <c r="B175" s="838" t="s">
        <v>1246</v>
      </c>
      <c r="C175" s="1041">
        <v>0</v>
      </c>
      <c r="D175" s="1041">
        <v>0</v>
      </c>
      <c r="E175" s="1041"/>
      <c r="F175" s="1041"/>
      <c r="G175" s="1041">
        <f t="shared" si="7"/>
        <v>0</v>
      </c>
      <c r="H175" s="1041"/>
      <c r="I175" s="1041">
        <v>0</v>
      </c>
      <c r="J175" s="1041">
        <v>0</v>
      </c>
      <c r="K175" s="1041">
        <v>0</v>
      </c>
      <c r="L175" s="1041">
        <v>0</v>
      </c>
      <c r="M175" s="1041">
        <v>0</v>
      </c>
      <c r="N175" s="1041"/>
      <c r="O175" s="838">
        <v>0</v>
      </c>
      <c r="P175" s="838">
        <v>0</v>
      </c>
      <c r="Q175" s="838">
        <v>0</v>
      </c>
      <c r="R175" s="838">
        <v>0</v>
      </c>
      <c r="S175" s="838">
        <v>0</v>
      </c>
      <c r="T175" s="1041"/>
      <c r="U175" s="838">
        <v>0</v>
      </c>
      <c r="V175" s="838">
        <v>0</v>
      </c>
      <c r="W175" s="838">
        <v>0</v>
      </c>
      <c r="X175" s="838">
        <v>0</v>
      </c>
      <c r="Y175">
        <v>0</v>
      </c>
    </row>
    <row r="176" spans="1:25" ht="12.75">
      <c r="A176" s="1072">
        <f t="shared" si="8"/>
        <v>9.839999999999982</v>
      </c>
      <c r="B176" s="838" t="s">
        <v>1247</v>
      </c>
      <c r="C176" s="1041">
        <v>0</v>
      </c>
      <c r="D176" s="1041">
        <v>0</v>
      </c>
      <c r="E176" s="1041"/>
      <c r="F176" s="1041"/>
      <c r="G176" s="1041">
        <f t="shared" si="7"/>
        <v>0</v>
      </c>
      <c r="H176" s="1041"/>
      <c r="I176" s="1041">
        <v>0</v>
      </c>
      <c r="J176" s="1041">
        <v>0</v>
      </c>
      <c r="K176" s="1041">
        <v>0</v>
      </c>
      <c r="L176" s="1041">
        <v>0</v>
      </c>
      <c r="M176" s="1041">
        <v>0</v>
      </c>
      <c r="N176" s="1041"/>
      <c r="O176" s="838">
        <v>0</v>
      </c>
      <c r="P176" s="838">
        <v>0</v>
      </c>
      <c r="Q176" s="838">
        <v>0</v>
      </c>
      <c r="R176" s="838">
        <v>0</v>
      </c>
      <c r="S176" s="838">
        <v>0</v>
      </c>
      <c r="T176" s="1041"/>
      <c r="U176" s="838">
        <v>0</v>
      </c>
      <c r="V176" s="838">
        <v>0</v>
      </c>
      <c r="W176" s="838">
        <v>0</v>
      </c>
      <c r="X176" s="838">
        <v>0</v>
      </c>
      <c r="Y176">
        <v>0</v>
      </c>
    </row>
    <row r="177" spans="1:25" ht="12.75">
      <c r="A177" s="1072">
        <f t="shared" si="8"/>
        <v>9.849999999999982</v>
      </c>
      <c r="B177" s="838" t="s">
        <v>1248</v>
      </c>
      <c r="C177" s="1041">
        <v>807094.1</v>
      </c>
      <c r="D177" s="1041">
        <v>1315002.42</v>
      </c>
      <c r="E177" s="1041"/>
      <c r="F177" s="1041"/>
      <c r="G177" s="1041">
        <f t="shared" si="7"/>
        <v>1061048</v>
      </c>
      <c r="H177" s="1041"/>
      <c r="I177" s="1041">
        <v>1061048.26</v>
      </c>
      <c r="J177" s="1041">
        <v>0</v>
      </c>
      <c r="K177" s="1041">
        <v>0</v>
      </c>
      <c r="L177" s="1041">
        <v>0</v>
      </c>
      <c r="M177" s="1041">
        <v>0</v>
      </c>
      <c r="N177" s="1041"/>
      <c r="O177" s="838">
        <v>807094.1</v>
      </c>
      <c r="P177" s="838">
        <v>0</v>
      </c>
      <c r="Q177" s="838">
        <v>0</v>
      </c>
      <c r="R177" s="838">
        <v>0</v>
      </c>
      <c r="S177" s="838">
        <v>0</v>
      </c>
      <c r="T177" s="1041"/>
      <c r="U177" s="838">
        <v>1315002.42</v>
      </c>
      <c r="V177" s="838">
        <v>0</v>
      </c>
      <c r="W177" s="838">
        <v>0</v>
      </c>
      <c r="X177" s="838">
        <v>0</v>
      </c>
      <c r="Y177">
        <v>0</v>
      </c>
    </row>
    <row r="178" spans="1:25" ht="12.75">
      <c r="A178" s="1072">
        <f t="shared" si="8"/>
        <v>9.859999999999982</v>
      </c>
      <c r="B178" s="838" t="s">
        <v>1249</v>
      </c>
      <c r="C178" s="1041">
        <v>0</v>
      </c>
      <c r="D178" s="1041">
        <v>0</v>
      </c>
      <c r="E178" s="1041"/>
      <c r="F178" s="1041"/>
      <c r="G178" s="1041">
        <f t="shared" si="7"/>
        <v>0</v>
      </c>
      <c r="H178" s="1041"/>
      <c r="I178" s="1041">
        <v>0</v>
      </c>
      <c r="J178" s="1041">
        <v>0</v>
      </c>
      <c r="K178" s="1041">
        <v>0</v>
      </c>
      <c r="L178" s="1041">
        <v>0</v>
      </c>
      <c r="M178" s="1041">
        <v>0</v>
      </c>
      <c r="N178" s="1041"/>
      <c r="O178" s="838">
        <v>0</v>
      </c>
      <c r="P178" s="838">
        <v>0</v>
      </c>
      <c r="Q178" s="838">
        <v>0</v>
      </c>
      <c r="R178" s="838">
        <v>0</v>
      </c>
      <c r="S178" s="838">
        <v>0</v>
      </c>
      <c r="T178" s="1041"/>
      <c r="U178" s="838">
        <v>0</v>
      </c>
      <c r="V178" s="838">
        <v>0</v>
      </c>
      <c r="W178" s="838">
        <v>0</v>
      </c>
      <c r="X178" s="838">
        <v>0</v>
      </c>
      <c r="Y178">
        <v>0</v>
      </c>
    </row>
    <row r="179" spans="1:25" ht="12.75">
      <c r="A179" s="1072">
        <f t="shared" si="8"/>
        <v>9.869999999999981</v>
      </c>
      <c r="B179" s="838" t="s">
        <v>1250</v>
      </c>
      <c r="C179" s="1041">
        <v>0</v>
      </c>
      <c r="D179" s="1041">
        <v>0</v>
      </c>
      <c r="E179" s="1041"/>
      <c r="F179" s="1041"/>
      <c r="G179" s="1041">
        <f t="shared" si="7"/>
        <v>0</v>
      </c>
      <c r="H179" s="1041"/>
      <c r="I179" s="1041">
        <v>0</v>
      </c>
      <c r="J179" s="1041">
        <v>0</v>
      </c>
      <c r="K179" s="1041">
        <v>0</v>
      </c>
      <c r="L179" s="1041">
        <v>0</v>
      </c>
      <c r="M179" s="1041">
        <v>0</v>
      </c>
      <c r="N179" s="1041"/>
      <c r="O179" s="838">
        <v>0</v>
      </c>
      <c r="P179" s="838">
        <v>0</v>
      </c>
      <c r="Q179" s="838">
        <v>0</v>
      </c>
      <c r="R179" s="838">
        <v>0</v>
      </c>
      <c r="S179" s="838">
        <v>0</v>
      </c>
      <c r="T179" s="1041"/>
      <c r="U179" s="838">
        <v>0</v>
      </c>
      <c r="V179" s="838">
        <v>0</v>
      </c>
      <c r="W179" s="838">
        <v>0</v>
      </c>
      <c r="X179" s="838">
        <v>0</v>
      </c>
      <c r="Y179">
        <v>0</v>
      </c>
    </row>
    <row r="180" spans="1:25" ht="12.75">
      <c r="A180" s="1072">
        <f t="shared" si="8"/>
        <v>9.879999999999981</v>
      </c>
      <c r="B180" s="838" t="s">
        <v>1251</v>
      </c>
      <c r="C180" s="1041">
        <v>764083.11</v>
      </c>
      <c r="D180" s="1041">
        <v>1170233.16</v>
      </c>
      <c r="E180" s="1041"/>
      <c r="F180" s="1041"/>
      <c r="G180" s="1041">
        <f t="shared" si="7"/>
        <v>967158</v>
      </c>
      <c r="H180" s="1041"/>
      <c r="I180" s="1041">
        <v>967158.135</v>
      </c>
      <c r="J180" s="1041">
        <v>0</v>
      </c>
      <c r="K180" s="1041">
        <v>0</v>
      </c>
      <c r="L180" s="1041">
        <v>0</v>
      </c>
      <c r="M180" s="1041">
        <v>0</v>
      </c>
      <c r="N180" s="1041"/>
      <c r="O180" s="838">
        <v>764083.11</v>
      </c>
      <c r="P180" s="838">
        <v>0</v>
      </c>
      <c r="Q180" s="838">
        <v>0</v>
      </c>
      <c r="R180" s="838">
        <v>0</v>
      </c>
      <c r="S180" s="838">
        <v>0</v>
      </c>
      <c r="T180" s="1041"/>
      <c r="U180" s="838">
        <v>1170233.16</v>
      </c>
      <c r="V180" s="838">
        <v>0</v>
      </c>
      <c r="W180" s="838">
        <v>0</v>
      </c>
      <c r="X180" s="838">
        <v>0</v>
      </c>
      <c r="Y180">
        <v>0</v>
      </c>
    </row>
    <row r="181" spans="1:25" ht="12.75">
      <c r="A181" s="1072">
        <f t="shared" si="8"/>
        <v>9.889999999999981</v>
      </c>
      <c r="B181" s="838" t="s">
        <v>1252</v>
      </c>
      <c r="C181" s="1041">
        <v>-297673.37</v>
      </c>
      <c r="D181" s="1041">
        <v>-457024.11</v>
      </c>
      <c r="E181" s="1041"/>
      <c r="F181" s="1041"/>
      <c r="G181" s="1041">
        <f t="shared" si="7"/>
        <v>-377349</v>
      </c>
      <c r="H181" s="1041"/>
      <c r="I181" s="1041">
        <v>-377348.74</v>
      </c>
      <c r="J181" s="1041">
        <v>0</v>
      </c>
      <c r="K181" s="1041">
        <v>0</v>
      </c>
      <c r="L181" s="1041">
        <v>0</v>
      </c>
      <c r="M181" s="1041">
        <v>0</v>
      </c>
      <c r="N181" s="1041"/>
      <c r="O181" s="838">
        <v>-297673.37</v>
      </c>
      <c r="P181" s="838">
        <v>0</v>
      </c>
      <c r="Q181" s="838">
        <v>0</v>
      </c>
      <c r="R181" s="838">
        <v>0</v>
      </c>
      <c r="S181" s="838">
        <v>0</v>
      </c>
      <c r="T181" s="1041"/>
      <c r="U181" s="838">
        <v>-457024.11</v>
      </c>
      <c r="V181" s="838">
        <v>0</v>
      </c>
      <c r="W181" s="838">
        <v>0</v>
      </c>
      <c r="X181" s="838">
        <v>0</v>
      </c>
      <c r="Y181">
        <v>0</v>
      </c>
    </row>
    <row r="182" spans="1:25" ht="12.75">
      <c r="A182" s="1072">
        <f t="shared" si="8"/>
        <v>9.89999999999998</v>
      </c>
      <c r="B182" s="838" t="s">
        <v>1253</v>
      </c>
      <c r="C182" s="1041">
        <v>0</v>
      </c>
      <c r="D182" s="1041">
        <v>75541.52</v>
      </c>
      <c r="E182" s="1041"/>
      <c r="F182" s="1041"/>
      <c r="G182" s="1041">
        <f t="shared" si="7"/>
        <v>37771</v>
      </c>
      <c r="H182" s="1041"/>
      <c r="I182" s="1041">
        <v>0</v>
      </c>
      <c r="J182" s="1041">
        <v>37770.76</v>
      </c>
      <c r="K182" s="1041">
        <v>0</v>
      </c>
      <c r="L182" s="1041">
        <v>0</v>
      </c>
      <c r="M182" s="1041">
        <v>0</v>
      </c>
      <c r="N182" s="1041"/>
      <c r="O182" s="838">
        <v>0</v>
      </c>
      <c r="P182" s="838">
        <v>0</v>
      </c>
      <c r="Q182" s="838">
        <v>0</v>
      </c>
      <c r="R182" s="838">
        <v>0</v>
      </c>
      <c r="S182" s="838">
        <v>0</v>
      </c>
      <c r="T182" s="1041"/>
      <c r="U182" s="838">
        <v>0</v>
      </c>
      <c r="V182" s="838">
        <v>75541.52</v>
      </c>
      <c r="W182" s="838">
        <v>0</v>
      </c>
      <c r="X182" s="838">
        <v>0</v>
      </c>
      <c r="Y182">
        <v>0</v>
      </c>
    </row>
    <row r="183" spans="1:25" ht="12.75">
      <c r="A183" s="1072">
        <f t="shared" si="8"/>
        <v>9.90999999999998</v>
      </c>
      <c r="B183" s="838" t="s">
        <v>1254</v>
      </c>
      <c r="C183" s="1041">
        <v>0</v>
      </c>
      <c r="D183" s="1041">
        <v>9775.48</v>
      </c>
      <c r="E183" s="1041"/>
      <c r="F183" s="1041"/>
      <c r="G183" s="1041">
        <f>ROUND(SUM(C183:F183)/2,0)</f>
        <v>4888</v>
      </c>
      <c r="H183" s="1041"/>
      <c r="I183" s="1041">
        <v>0</v>
      </c>
      <c r="J183" s="1041">
        <v>4887.74</v>
      </c>
      <c r="K183" s="1041">
        <v>0</v>
      </c>
      <c r="L183" s="1041">
        <v>0</v>
      </c>
      <c r="M183" s="1041">
        <v>0</v>
      </c>
      <c r="N183" s="1041"/>
      <c r="O183" s="838">
        <v>0</v>
      </c>
      <c r="P183" s="838">
        <v>0</v>
      </c>
      <c r="Q183" s="838">
        <v>0</v>
      </c>
      <c r="R183" s="838">
        <v>0</v>
      </c>
      <c r="S183" s="838">
        <v>0</v>
      </c>
      <c r="T183" s="1041"/>
      <c r="U183" s="838">
        <v>0</v>
      </c>
      <c r="V183" s="838">
        <v>9775.48</v>
      </c>
      <c r="W183" s="838">
        <v>0</v>
      </c>
      <c r="X183" s="838">
        <v>0</v>
      </c>
      <c r="Y183">
        <v>0</v>
      </c>
    </row>
    <row r="184" spans="1:25" ht="12.75">
      <c r="A184" s="1072">
        <f t="shared" si="8"/>
        <v>9.91999999999998</v>
      </c>
      <c r="B184" s="838" t="s">
        <v>1255</v>
      </c>
      <c r="C184" s="1041">
        <v>0</v>
      </c>
      <c r="D184" s="1041">
        <v>-3776.97</v>
      </c>
      <c r="E184" s="1041"/>
      <c r="F184" s="1041"/>
      <c r="G184" s="1041">
        <f t="shared" si="7"/>
        <v>-1888</v>
      </c>
      <c r="H184" s="1041"/>
      <c r="I184" s="1041">
        <v>0</v>
      </c>
      <c r="J184" s="1041">
        <v>-1888.485</v>
      </c>
      <c r="K184" s="1041">
        <v>0</v>
      </c>
      <c r="L184" s="1041">
        <v>0</v>
      </c>
      <c r="M184" s="1041">
        <v>0</v>
      </c>
      <c r="N184" s="1041"/>
      <c r="O184" s="838">
        <v>0</v>
      </c>
      <c r="P184" s="838">
        <v>0</v>
      </c>
      <c r="Q184" s="838">
        <v>0</v>
      </c>
      <c r="R184" s="838">
        <v>0</v>
      </c>
      <c r="S184" s="838">
        <v>0</v>
      </c>
      <c r="T184" s="1041"/>
      <c r="U184" s="838">
        <v>0</v>
      </c>
      <c r="V184" s="838">
        <v>-3776.97</v>
      </c>
      <c r="W184" s="838">
        <v>0</v>
      </c>
      <c r="X184" s="838">
        <v>0</v>
      </c>
      <c r="Y184">
        <v>0</v>
      </c>
    </row>
    <row r="185" spans="1:25" ht="12.75">
      <c r="A185" s="1072">
        <f t="shared" si="8"/>
        <v>9.92999999999998</v>
      </c>
      <c r="B185" s="838" t="s">
        <v>1256</v>
      </c>
      <c r="C185" s="1041">
        <v>12692064.23</v>
      </c>
      <c r="D185" s="1041">
        <v>12692064.23</v>
      </c>
      <c r="E185" s="1041"/>
      <c r="F185" s="1041"/>
      <c r="G185" s="1041">
        <f t="shared" si="7"/>
        <v>12692064</v>
      </c>
      <c r="H185" s="1041"/>
      <c r="I185" s="1041">
        <v>0</v>
      </c>
      <c r="J185" s="1041">
        <v>12692064.23</v>
      </c>
      <c r="K185" s="1041">
        <v>0</v>
      </c>
      <c r="L185" s="1041">
        <v>0</v>
      </c>
      <c r="M185" s="1041">
        <v>0</v>
      </c>
      <c r="N185" s="1041"/>
      <c r="O185" s="838">
        <v>0</v>
      </c>
      <c r="P185" s="838">
        <v>12692064.23</v>
      </c>
      <c r="Q185" s="838">
        <v>0</v>
      </c>
      <c r="R185" s="838">
        <v>0</v>
      </c>
      <c r="S185" s="838">
        <v>0</v>
      </c>
      <c r="T185" s="1041"/>
      <c r="U185" s="838">
        <v>0</v>
      </c>
      <c r="V185" s="838">
        <v>12692064.23</v>
      </c>
      <c r="W185" s="838">
        <v>0</v>
      </c>
      <c r="X185" s="838">
        <v>0</v>
      </c>
      <c r="Y185">
        <v>0</v>
      </c>
    </row>
    <row r="186" spans="1:25" ht="12.75">
      <c r="A186" s="1072">
        <f t="shared" si="8"/>
        <v>9.93999999999998</v>
      </c>
      <c r="B186" s="838" t="s">
        <v>1257</v>
      </c>
      <c r="C186" s="838">
        <v>15573.9</v>
      </c>
      <c r="D186" s="838">
        <v>26979.21</v>
      </c>
      <c r="E186" s="1041"/>
      <c r="F186" s="1041"/>
      <c r="G186" s="1041">
        <f t="shared" si="7"/>
        <v>21277</v>
      </c>
      <c r="H186" s="1041"/>
      <c r="I186" s="1041">
        <v>0</v>
      </c>
      <c r="J186" s="1041">
        <v>0</v>
      </c>
      <c r="K186" s="1041">
        <v>0</v>
      </c>
      <c r="L186" s="1041">
        <v>21276.555</v>
      </c>
      <c r="M186" s="1041">
        <v>0</v>
      </c>
      <c r="N186" s="1041"/>
      <c r="O186" s="1041">
        <v>0</v>
      </c>
      <c r="P186" s="1041">
        <v>0</v>
      </c>
      <c r="Q186" s="1041">
        <v>0</v>
      </c>
      <c r="R186" s="1041">
        <v>15573.9</v>
      </c>
      <c r="S186" s="1041">
        <v>0</v>
      </c>
      <c r="T186" s="1041"/>
      <c r="U186" s="1041">
        <v>0</v>
      </c>
      <c r="V186" s="1041">
        <v>0</v>
      </c>
      <c r="W186" s="1041">
        <v>0</v>
      </c>
      <c r="X186" s="1041">
        <v>26979.21</v>
      </c>
      <c r="Y186">
        <v>0</v>
      </c>
    </row>
    <row r="187" spans="1:25" ht="12.75">
      <c r="A187" s="1072">
        <f t="shared" si="8"/>
        <v>9.94999999999998</v>
      </c>
      <c r="B187" s="838" t="s">
        <v>1258</v>
      </c>
      <c r="C187" s="838">
        <v>8294272.1</v>
      </c>
      <c r="D187" s="838">
        <v>8415786.5</v>
      </c>
      <c r="E187" s="1041"/>
      <c r="F187" s="1041"/>
      <c r="G187" s="1041">
        <f t="shared" si="7"/>
        <v>8355029</v>
      </c>
      <c r="H187" s="1041"/>
      <c r="I187" s="1041">
        <v>6015409.574999999</v>
      </c>
      <c r="J187" s="1041">
        <v>667903.075</v>
      </c>
      <c r="K187" s="1041">
        <v>393920.45</v>
      </c>
      <c r="L187" s="1041">
        <v>1277796.2</v>
      </c>
      <c r="M187" s="1041">
        <v>0</v>
      </c>
      <c r="N187" s="1041"/>
      <c r="O187" s="1041">
        <v>6338705.1</v>
      </c>
      <c r="P187" s="1041">
        <v>539400.75</v>
      </c>
      <c r="Q187" s="1041">
        <v>171115.35</v>
      </c>
      <c r="R187" s="1041">
        <v>1245050.9</v>
      </c>
      <c r="S187" s="1041">
        <v>0</v>
      </c>
      <c r="T187" s="1041"/>
      <c r="U187" s="1041">
        <v>5692114.05</v>
      </c>
      <c r="V187" s="1041">
        <v>796405.4</v>
      </c>
      <c r="W187" s="1041">
        <v>616725.55</v>
      </c>
      <c r="X187" s="1041">
        <v>1310541.5</v>
      </c>
      <c r="Y187">
        <v>0</v>
      </c>
    </row>
    <row r="188" spans="1:25" ht="12.75">
      <c r="A188" s="1072">
        <f t="shared" si="8"/>
        <v>9.95999999999998</v>
      </c>
      <c r="B188" s="838" t="s">
        <v>1259</v>
      </c>
      <c r="C188" s="838">
        <v>17483657.38</v>
      </c>
      <c r="D188" s="838">
        <v>21645736.049999997</v>
      </c>
      <c r="E188" s="1041"/>
      <c r="F188" s="1041"/>
      <c r="G188" s="1041">
        <f t="shared" si="7"/>
        <v>19564697</v>
      </c>
      <c r="H188" s="1041"/>
      <c r="I188" s="1041">
        <v>2950055.475</v>
      </c>
      <c r="J188" s="1041">
        <v>7823802.984999999</v>
      </c>
      <c r="K188" s="1041">
        <v>2380621.635</v>
      </c>
      <c r="L188" s="1041">
        <v>6410216.619999999</v>
      </c>
      <c r="M188" s="1041">
        <v>0</v>
      </c>
      <c r="N188" s="1041"/>
      <c r="O188" s="1041">
        <v>2707034.08</v>
      </c>
      <c r="P188" s="1041">
        <v>6774915.55</v>
      </c>
      <c r="Q188" s="1041">
        <v>2154703.61</v>
      </c>
      <c r="R188" s="1041">
        <v>5847004.14</v>
      </c>
      <c r="S188" s="1041">
        <v>0</v>
      </c>
      <c r="T188" s="1041"/>
      <c r="U188" s="1041">
        <v>3193076.87</v>
      </c>
      <c r="V188" s="1041">
        <v>8872690.42</v>
      </c>
      <c r="W188" s="1041">
        <v>2606539.66</v>
      </c>
      <c r="X188" s="1041">
        <v>6973429.1</v>
      </c>
      <c r="Y188">
        <v>0</v>
      </c>
    </row>
    <row r="189" spans="1:25" ht="12.75">
      <c r="A189" s="1072">
        <f t="shared" si="8"/>
        <v>9.96999999999998</v>
      </c>
      <c r="B189" s="838" t="s">
        <v>1260</v>
      </c>
      <c r="C189" s="838">
        <v>192037653.49</v>
      </c>
      <c r="D189" s="838">
        <v>224521429.64</v>
      </c>
      <c r="E189" s="1041"/>
      <c r="F189" s="1041"/>
      <c r="G189" s="1041">
        <f t="shared" si="7"/>
        <v>208279542</v>
      </c>
      <c r="H189" s="1041"/>
      <c r="I189" s="1041">
        <v>0</v>
      </c>
      <c r="J189" s="1041">
        <v>208279541.565</v>
      </c>
      <c r="K189" s="1041">
        <v>0</v>
      </c>
      <c r="L189" s="1041">
        <v>0</v>
      </c>
      <c r="M189" s="1041">
        <v>0</v>
      </c>
      <c r="N189" s="1041"/>
      <c r="O189" s="1041">
        <v>0</v>
      </c>
      <c r="P189" s="1041">
        <v>192037653.49</v>
      </c>
      <c r="Q189" s="1041">
        <v>0</v>
      </c>
      <c r="R189" s="1041">
        <v>0</v>
      </c>
      <c r="S189" s="1041">
        <v>0</v>
      </c>
      <c r="T189" s="1041"/>
      <c r="U189" s="1041">
        <v>0</v>
      </c>
      <c r="V189" s="1041">
        <v>224521429.64</v>
      </c>
      <c r="W189" s="1041">
        <v>0</v>
      </c>
      <c r="X189" s="1041">
        <v>0</v>
      </c>
      <c r="Y189">
        <v>0</v>
      </c>
    </row>
    <row r="190" spans="1:25" ht="12.75">
      <c r="A190" s="1072">
        <f t="shared" si="8"/>
        <v>9.979999999999979</v>
      </c>
      <c r="B190" s="838" t="s">
        <v>1261</v>
      </c>
      <c r="C190" s="838">
        <v>-197963698.85</v>
      </c>
      <c r="D190" s="838">
        <v>-217609311.93</v>
      </c>
      <c r="E190" s="1041"/>
      <c r="F190" s="1041"/>
      <c r="G190" s="1041">
        <f t="shared" si="7"/>
        <v>-207786505</v>
      </c>
      <c r="H190" s="1041"/>
      <c r="I190" s="1041">
        <v>0</v>
      </c>
      <c r="J190" s="1041">
        <v>-207786505.39</v>
      </c>
      <c r="K190" s="1041">
        <v>0</v>
      </c>
      <c r="L190" s="1041">
        <v>0</v>
      </c>
      <c r="M190" s="1041">
        <v>0</v>
      </c>
      <c r="N190" s="1041"/>
      <c r="O190" s="1041">
        <v>0</v>
      </c>
      <c r="P190" s="1041">
        <v>-197963698.85</v>
      </c>
      <c r="Q190" s="1041">
        <v>0</v>
      </c>
      <c r="R190" s="1041">
        <v>0</v>
      </c>
      <c r="S190" s="1041">
        <v>0</v>
      </c>
      <c r="T190" s="1041"/>
      <c r="U190" s="1041">
        <v>0</v>
      </c>
      <c r="V190" s="1041">
        <v>-217609311.93</v>
      </c>
      <c r="W190" s="1041">
        <v>0</v>
      </c>
      <c r="X190" s="1041">
        <v>0</v>
      </c>
      <c r="Y190">
        <v>0</v>
      </c>
    </row>
    <row r="191" spans="1:25" ht="12.75">
      <c r="A191" s="1072">
        <f t="shared" si="8"/>
        <v>9.989999999999979</v>
      </c>
      <c r="B191" s="838" t="s">
        <v>1262</v>
      </c>
      <c r="C191" s="838">
        <v>233715316.96</v>
      </c>
      <c r="D191" s="838">
        <v>233923215.91</v>
      </c>
      <c r="E191" s="1041"/>
      <c r="F191" s="1041"/>
      <c r="G191" s="1041">
        <f t="shared" si="7"/>
        <v>233819266</v>
      </c>
      <c r="H191" s="1041"/>
      <c r="I191" s="1041">
        <v>0</v>
      </c>
      <c r="J191" s="1041">
        <v>233819266.435</v>
      </c>
      <c r="K191" s="1041">
        <v>0</v>
      </c>
      <c r="L191" s="1041">
        <v>0</v>
      </c>
      <c r="M191" s="1041">
        <v>0</v>
      </c>
      <c r="N191" s="1041"/>
      <c r="O191" s="1041">
        <v>0</v>
      </c>
      <c r="P191" s="1041">
        <v>233715316.96</v>
      </c>
      <c r="Q191" s="1041">
        <v>0</v>
      </c>
      <c r="R191" s="1041">
        <v>0</v>
      </c>
      <c r="S191" s="1041">
        <v>0</v>
      </c>
      <c r="T191" s="1041"/>
      <c r="U191" s="1041">
        <v>0</v>
      </c>
      <c r="V191" s="1041">
        <v>233923215.91</v>
      </c>
      <c r="W191" s="1041">
        <v>0</v>
      </c>
      <c r="X191" s="1041">
        <v>0</v>
      </c>
      <c r="Y191">
        <v>0</v>
      </c>
    </row>
    <row r="192" spans="1:25" ht="12.75">
      <c r="A192" s="1072">
        <f t="shared" si="8"/>
        <v>9.999999999999979</v>
      </c>
      <c r="B192" s="838" t="s">
        <v>1263</v>
      </c>
      <c r="C192" s="838">
        <v>-210118552.45</v>
      </c>
      <c r="D192" s="838">
        <v>-235633977.55</v>
      </c>
      <c r="E192" s="1041"/>
      <c r="F192" s="1041"/>
      <c r="G192" s="1041">
        <f t="shared" si="7"/>
        <v>-222876265</v>
      </c>
      <c r="H192" s="1041"/>
      <c r="I192" s="1041">
        <v>0</v>
      </c>
      <c r="J192" s="1041">
        <v>-222876265</v>
      </c>
      <c r="K192" s="1041">
        <v>0</v>
      </c>
      <c r="L192" s="1041">
        <v>0</v>
      </c>
      <c r="M192" s="1041">
        <v>0</v>
      </c>
      <c r="N192" s="1041"/>
      <c r="O192" s="1041">
        <v>0</v>
      </c>
      <c r="P192" s="1041">
        <v>-210118552.45</v>
      </c>
      <c r="Q192" s="1041">
        <v>0</v>
      </c>
      <c r="R192" s="1041">
        <v>0</v>
      </c>
      <c r="S192" s="1041">
        <v>0</v>
      </c>
      <c r="T192" s="1041"/>
      <c r="U192" s="1041">
        <v>0</v>
      </c>
      <c r="V192" s="1041">
        <v>-235633977.55</v>
      </c>
      <c r="W192" s="1041">
        <v>0</v>
      </c>
      <c r="X192" s="1041">
        <v>0</v>
      </c>
      <c r="Y192">
        <v>0</v>
      </c>
    </row>
    <row r="193" spans="1:25" ht="12.75">
      <c r="A193" s="1072">
        <f t="shared" si="8"/>
        <v>10.009999999999978</v>
      </c>
      <c r="B193" s="838" t="s">
        <v>1264</v>
      </c>
      <c r="C193" s="1440">
        <v>681317603.46</v>
      </c>
      <c r="D193" s="1440">
        <v>775861297.45</v>
      </c>
      <c r="E193" s="1046"/>
      <c r="F193" s="1046"/>
      <c r="G193" s="1046">
        <f t="shared" si="7"/>
        <v>728589450</v>
      </c>
      <c r="H193" s="1046"/>
      <c r="I193" s="1046">
        <v>0</v>
      </c>
      <c r="J193" s="1046">
        <v>728589450.455</v>
      </c>
      <c r="K193" s="1046">
        <v>0</v>
      </c>
      <c r="L193" s="1046">
        <v>0</v>
      </c>
      <c r="M193" s="1046">
        <v>0</v>
      </c>
      <c r="N193" s="1046"/>
      <c r="O193" s="1046">
        <v>0</v>
      </c>
      <c r="P193" s="1046">
        <v>681317603.46</v>
      </c>
      <c r="Q193" s="1046">
        <v>0</v>
      </c>
      <c r="R193" s="1046">
        <v>0</v>
      </c>
      <c r="S193" s="1046">
        <v>0</v>
      </c>
      <c r="T193" s="1046"/>
      <c r="U193" s="1046">
        <v>0</v>
      </c>
      <c r="V193" s="1046">
        <v>775861297.45</v>
      </c>
      <c r="W193" s="1046">
        <v>0</v>
      </c>
      <c r="X193" s="1046">
        <v>0</v>
      </c>
      <c r="Y193" s="1443">
        <v>0</v>
      </c>
    </row>
    <row r="194" spans="1:25" ht="12.75">
      <c r="A194" s="1072">
        <f t="shared" si="8"/>
        <v>10.019999999999978</v>
      </c>
      <c r="B194" s="838" t="s">
        <v>1265</v>
      </c>
      <c r="C194" s="838">
        <v>7725638.81</v>
      </c>
      <c r="D194" s="838">
        <v>18676329.08</v>
      </c>
      <c r="E194" s="1041"/>
      <c r="F194" s="1041"/>
      <c r="G194" s="1041">
        <f t="shared" si="7"/>
        <v>13200984</v>
      </c>
      <c r="H194" s="1041"/>
      <c r="I194" s="1041">
        <v>0</v>
      </c>
      <c r="J194" s="1041">
        <v>13200983.944999998</v>
      </c>
      <c r="K194" s="1041">
        <v>0</v>
      </c>
      <c r="L194" s="1041">
        <v>0</v>
      </c>
      <c r="M194" s="1041">
        <v>0</v>
      </c>
      <c r="N194" s="1041"/>
      <c r="O194" s="1041">
        <v>0</v>
      </c>
      <c r="P194" s="1041">
        <v>7725638.81</v>
      </c>
      <c r="Q194" s="1041">
        <v>0</v>
      </c>
      <c r="R194" s="1041">
        <v>0</v>
      </c>
      <c r="S194" s="1041">
        <v>0</v>
      </c>
      <c r="T194" s="1041"/>
      <c r="U194" s="1041">
        <v>0</v>
      </c>
      <c r="V194" s="1041">
        <v>18676329.08</v>
      </c>
      <c r="W194" s="1041">
        <v>0</v>
      </c>
      <c r="X194" s="1041">
        <v>0</v>
      </c>
      <c r="Y194">
        <v>0</v>
      </c>
    </row>
    <row r="195" spans="1:25" ht="12.75">
      <c r="A195" s="1072">
        <f t="shared" si="8"/>
        <v>10.029999999999978</v>
      </c>
      <c r="B195" s="838" t="s">
        <v>1266</v>
      </c>
      <c r="C195" s="838">
        <v>18595462.47</v>
      </c>
      <c r="D195" s="838">
        <v>4655190.83</v>
      </c>
      <c r="E195" s="1041"/>
      <c r="F195" s="1041"/>
      <c r="G195" s="1041">
        <f t="shared" si="7"/>
        <v>11625327</v>
      </c>
      <c r="H195" s="1041"/>
      <c r="I195" s="1041">
        <v>0</v>
      </c>
      <c r="J195" s="1041">
        <v>11625326.649999999</v>
      </c>
      <c r="K195" s="1041">
        <v>0</v>
      </c>
      <c r="L195" s="1041">
        <v>0</v>
      </c>
      <c r="M195" s="1041">
        <v>0</v>
      </c>
      <c r="N195" s="1041"/>
      <c r="O195" s="1041">
        <v>0</v>
      </c>
      <c r="P195" s="1041">
        <v>18595462.47</v>
      </c>
      <c r="Q195" s="1041">
        <v>0</v>
      </c>
      <c r="R195" s="1041">
        <v>0</v>
      </c>
      <c r="S195" s="1041">
        <v>0</v>
      </c>
      <c r="T195" s="1041"/>
      <c r="U195" s="1041">
        <v>0</v>
      </c>
      <c r="V195" s="1041">
        <v>4655190.83</v>
      </c>
      <c r="W195" s="1041">
        <v>0</v>
      </c>
      <c r="X195" s="1041">
        <v>0</v>
      </c>
      <c r="Y195">
        <v>0</v>
      </c>
    </row>
    <row r="196" spans="1:25" ht="12.75">
      <c r="A196" s="1072">
        <f t="shared" si="8"/>
        <v>10.039999999999978</v>
      </c>
      <c r="B196" s="838" t="s">
        <v>1267</v>
      </c>
      <c r="C196" s="838">
        <v>0</v>
      </c>
      <c r="D196" s="838">
        <v>0</v>
      </c>
      <c r="E196" s="1041"/>
      <c r="F196" s="1041"/>
      <c r="G196" s="1041">
        <f t="shared" si="7"/>
        <v>0</v>
      </c>
      <c r="H196" s="1041"/>
      <c r="I196" s="1041">
        <v>0</v>
      </c>
      <c r="J196" s="1041">
        <v>0</v>
      </c>
      <c r="K196" s="1041">
        <v>0</v>
      </c>
      <c r="L196" s="1041">
        <v>0</v>
      </c>
      <c r="M196" s="1041">
        <v>0</v>
      </c>
      <c r="N196" s="1041"/>
      <c r="O196" s="1041">
        <v>0</v>
      </c>
      <c r="P196" s="1041">
        <v>0</v>
      </c>
      <c r="Q196" s="1041">
        <v>0</v>
      </c>
      <c r="R196" s="1041">
        <v>0</v>
      </c>
      <c r="S196" s="1041">
        <v>0</v>
      </c>
      <c r="T196" s="1041"/>
      <c r="U196" s="1041">
        <v>0</v>
      </c>
      <c r="V196" s="1041">
        <v>0</v>
      </c>
      <c r="W196" s="1041">
        <v>0</v>
      </c>
      <c r="X196" s="1041">
        <v>0</v>
      </c>
      <c r="Y196">
        <v>0</v>
      </c>
    </row>
    <row r="197" spans="1:25" ht="12.75">
      <c r="A197" s="1072">
        <f t="shared" si="8"/>
        <v>10.049999999999978</v>
      </c>
      <c r="B197" s="838" t="s">
        <v>1268</v>
      </c>
      <c r="C197" s="838">
        <v>3247943.92</v>
      </c>
      <c r="D197" s="838">
        <v>2892631.54</v>
      </c>
      <c r="E197" s="1041"/>
      <c r="F197" s="1041"/>
      <c r="G197" s="1041">
        <f t="shared" si="7"/>
        <v>3070288</v>
      </c>
      <c r="H197" s="1041"/>
      <c r="I197" s="1041">
        <v>491986.365</v>
      </c>
      <c r="J197" s="1041">
        <v>1391626.99</v>
      </c>
      <c r="K197" s="1041">
        <v>547202.405</v>
      </c>
      <c r="L197" s="1041">
        <v>639471.97</v>
      </c>
      <c r="M197" s="1041">
        <v>0</v>
      </c>
      <c r="N197" s="1041"/>
      <c r="O197" s="1041">
        <v>545779.94</v>
      </c>
      <c r="P197" s="1041">
        <v>1458886.43</v>
      </c>
      <c r="Q197" s="1041">
        <v>573801.07</v>
      </c>
      <c r="R197" s="1041">
        <v>669476.48</v>
      </c>
      <c r="S197" s="1041">
        <v>0</v>
      </c>
      <c r="T197" s="1041"/>
      <c r="U197" s="1041">
        <v>438192.79</v>
      </c>
      <c r="V197" s="1041">
        <v>1324367.55</v>
      </c>
      <c r="W197" s="1041">
        <v>520603.74</v>
      </c>
      <c r="X197" s="1041">
        <v>609467.46</v>
      </c>
      <c r="Y197">
        <v>0</v>
      </c>
    </row>
    <row r="198" spans="1:25" ht="12.75">
      <c r="A198" s="1072">
        <f t="shared" si="8"/>
        <v>10.059999999999977</v>
      </c>
      <c r="B198" s="838" t="s">
        <v>1269</v>
      </c>
      <c r="C198" s="838">
        <v>434601.42</v>
      </c>
      <c r="D198" s="838">
        <v>362167.72</v>
      </c>
      <c r="E198" s="1041"/>
      <c r="F198" s="1041"/>
      <c r="G198" s="1041">
        <f t="shared" si="7"/>
        <v>398385</v>
      </c>
      <c r="H198" s="1041"/>
      <c r="I198" s="1041">
        <v>398384.56999999995</v>
      </c>
      <c r="J198" s="1041">
        <v>0</v>
      </c>
      <c r="K198" s="1041">
        <v>0</v>
      </c>
      <c r="L198" s="1041">
        <v>0</v>
      </c>
      <c r="M198" s="1041">
        <v>0</v>
      </c>
      <c r="N198" s="1041"/>
      <c r="O198" s="1041">
        <v>434601.42</v>
      </c>
      <c r="P198" s="1041">
        <v>0</v>
      </c>
      <c r="Q198" s="1041">
        <v>0</v>
      </c>
      <c r="R198" s="1041">
        <v>0</v>
      </c>
      <c r="S198" s="1041">
        <v>0</v>
      </c>
      <c r="T198" s="1041"/>
      <c r="U198" s="1041">
        <v>362167.72</v>
      </c>
      <c r="V198" s="1041">
        <v>0</v>
      </c>
      <c r="W198" s="1041">
        <v>0</v>
      </c>
      <c r="X198" s="1041">
        <v>0</v>
      </c>
      <c r="Y198">
        <v>0</v>
      </c>
    </row>
    <row r="199" spans="1:25" ht="12.75">
      <c r="A199" s="1072">
        <f t="shared" si="8"/>
        <v>10.069999999999977</v>
      </c>
      <c r="B199" s="838" t="s">
        <v>1270</v>
      </c>
      <c r="C199" s="838">
        <v>0</v>
      </c>
      <c r="D199" s="838">
        <v>0</v>
      </c>
      <c r="E199" s="1041"/>
      <c r="F199" s="1041"/>
      <c r="G199" s="1041">
        <f t="shared" si="7"/>
        <v>0</v>
      </c>
      <c r="H199" s="1041"/>
      <c r="I199" s="1041">
        <v>0</v>
      </c>
      <c r="J199" s="1041">
        <v>0</v>
      </c>
      <c r="K199" s="1041">
        <v>0</v>
      </c>
      <c r="L199" s="1041">
        <v>0</v>
      </c>
      <c r="M199" s="1041">
        <v>0</v>
      </c>
      <c r="N199" s="1041"/>
      <c r="O199" s="1041">
        <v>0</v>
      </c>
      <c r="P199" s="1041">
        <v>0</v>
      </c>
      <c r="Q199" s="1041">
        <v>0</v>
      </c>
      <c r="R199" s="1041">
        <v>0</v>
      </c>
      <c r="S199" s="1041">
        <v>0</v>
      </c>
      <c r="T199" s="1041"/>
      <c r="U199" s="1041">
        <v>0</v>
      </c>
      <c r="V199" s="1041">
        <v>0</v>
      </c>
      <c r="W199" s="1041">
        <v>0</v>
      </c>
      <c r="X199" s="1041">
        <v>0</v>
      </c>
      <c r="Y199">
        <v>0</v>
      </c>
    </row>
    <row r="200" spans="1:25" ht="12.75">
      <c r="A200" s="1072">
        <f t="shared" si="8"/>
        <v>10.079999999999977</v>
      </c>
      <c r="B200" s="838" t="s">
        <v>1271</v>
      </c>
      <c r="C200" s="838">
        <v>0</v>
      </c>
      <c r="D200" s="838">
        <v>0</v>
      </c>
      <c r="E200" s="1041"/>
      <c r="F200" s="1041"/>
      <c r="G200" s="1041">
        <f t="shared" si="7"/>
        <v>0</v>
      </c>
      <c r="H200" s="1041"/>
      <c r="I200" s="1041">
        <v>0</v>
      </c>
      <c r="J200" s="1041">
        <v>0</v>
      </c>
      <c r="K200" s="1041">
        <v>0</v>
      </c>
      <c r="L200" s="1041">
        <v>0</v>
      </c>
      <c r="M200" s="1041">
        <v>0</v>
      </c>
      <c r="N200" s="1041"/>
      <c r="O200" s="1041">
        <v>0</v>
      </c>
      <c r="P200" s="1041">
        <v>0</v>
      </c>
      <c r="Q200" s="1041">
        <v>0</v>
      </c>
      <c r="R200" s="1041">
        <v>0</v>
      </c>
      <c r="S200" s="1041">
        <v>0</v>
      </c>
      <c r="T200" s="1041"/>
      <c r="U200" s="1041">
        <v>0</v>
      </c>
      <c r="V200" s="1041">
        <v>0</v>
      </c>
      <c r="W200" s="1041">
        <v>0</v>
      </c>
      <c r="X200" s="1041">
        <v>0</v>
      </c>
      <c r="Y200">
        <v>0</v>
      </c>
    </row>
    <row r="201" spans="1:25" ht="12.75">
      <c r="A201" s="1072">
        <f t="shared" si="8"/>
        <v>10.089999999999977</v>
      </c>
      <c r="B201" s="838" t="s">
        <v>1272</v>
      </c>
      <c r="C201" s="838">
        <v>-211271.37</v>
      </c>
      <c r="D201" s="838">
        <v>0</v>
      </c>
      <c r="E201" s="1041"/>
      <c r="F201" s="1041"/>
      <c r="G201" s="1041">
        <f t="shared" si="7"/>
        <v>-105636</v>
      </c>
      <c r="H201" s="1041"/>
      <c r="I201" s="1041">
        <v>0</v>
      </c>
      <c r="J201" s="1041">
        <v>0</v>
      </c>
      <c r="K201" s="1041">
        <v>-22500.185</v>
      </c>
      <c r="L201" s="1041">
        <v>-83135.5</v>
      </c>
      <c r="M201" s="1041">
        <v>0</v>
      </c>
      <c r="N201" s="1041"/>
      <c r="O201" s="1041">
        <v>0</v>
      </c>
      <c r="P201" s="1041">
        <v>0</v>
      </c>
      <c r="Q201" s="1041">
        <v>-45000.37</v>
      </c>
      <c r="R201" s="1041">
        <v>-166271</v>
      </c>
      <c r="S201" s="1041">
        <v>0</v>
      </c>
      <c r="T201" s="1041"/>
      <c r="U201" s="1041">
        <v>0</v>
      </c>
      <c r="V201" s="1041">
        <v>0</v>
      </c>
      <c r="W201" s="1041">
        <v>0</v>
      </c>
      <c r="X201" s="1041">
        <v>0</v>
      </c>
      <c r="Y201">
        <v>0</v>
      </c>
    </row>
    <row r="202" spans="1:25" ht="12.75">
      <c r="A202" s="1072">
        <f t="shared" si="8"/>
        <v>10.099999999999977</v>
      </c>
      <c r="B202" s="838" t="s">
        <v>1273</v>
      </c>
      <c r="C202" s="838">
        <v>-10881004.01</v>
      </c>
      <c r="D202" s="838">
        <v>-10532153.06</v>
      </c>
      <c r="E202" s="1041"/>
      <c r="F202" s="1041"/>
      <c r="G202" s="1041">
        <f t="shared" si="7"/>
        <v>-10706579</v>
      </c>
      <c r="H202" s="1041"/>
      <c r="I202" s="1041">
        <v>-2186654.4</v>
      </c>
      <c r="J202" s="1041">
        <v>-4704448.35</v>
      </c>
      <c r="K202" s="1041">
        <v>-523061.7</v>
      </c>
      <c r="L202" s="1041">
        <v>-3292414.085</v>
      </c>
      <c r="M202" s="1041">
        <v>0</v>
      </c>
      <c r="N202" s="1041"/>
      <c r="O202" s="1041">
        <v>-2186654.4</v>
      </c>
      <c r="P202" s="1041">
        <v>-4704448.35</v>
      </c>
      <c r="Q202" s="1041">
        <v>-523061.7</v>
      </c>
      <c r="R202" s="1041">
        <v>-3466839.56</v>
      </c>
      <c r="S202" s="1041">
        <v>0</v>
      </c>
      <c r="T202" s="1041"/>
      <c r="U202" s="1041">
        <v>-2186654.4</v>
      </c>
      <c r="V202" s="1041">
        <v>-4704448.35</v>
      </c>
      <c r="W202" s="1041">
        <v>-523061.7</v>
      </c>
      <c r="X202" s="1041">
        <v>-3117988.61</v>
      </c>
      <c r="Y202">
        <v>0</v>
      </c>
    </row>
    <row r="203" spans="1:25" ht="12.75">
      <c r="A203" s="1072">
        <f t="shared" si="8"/>
        <v>10.109999999999976</v>
      </c>
      <c r="B203" s="838" t="s">
        <v>1274</v>
      </c>
      <c r="C203" s="838">
        <v>2856377.32</v>
      </c>
      <c r="D203" s="838">
        <v>2499330.15</v>
      </c>
      <c r="E203" s="1041"/>
      <c r="F203" s="1041"/>
      <c r="G203" s="1041">
        <f t="shared" si="7"/>
        <v>2677854</v>
      </c>
      <c r="H203" s="1041"/>
      <c r="I203" s="1041">
        <v>538867.12</v>
      </c>
      <c r="J203" s="1041">
        <v>961438.7849999999</v>
      </c>
      <c r="K203" s="1041">
        <v>185438.745</v>
      </c>
      <c r="L203" s="1041">
        <v>992109.085</v>
      </c>
      <c r="M203" s="1041">
        <v>0</v>
      </c>
      <c r="N203" s="1041"/>
      <c r="O203" s="1041">
        <v>574791.59</v>
      </c>
      <c r="P203" s="1041">
        <v>1025534.71</v>
      </c>
      <c r="Q203" s="1041">
        <v>197801.32</v>
      </c>
      <c r="R203" s="1041">
        <v>1058249.7</v>
      </c>
      <c r="S203" s="1041">
        <v>0</v>
      </c>
      <c r="T203" s="1041"/>
      <c r="U203" s="1041">
        <v>502942.65</v>
      </c>
      <c r="V203" s="1041">
        <v>897342.86</v>
      </c>
      <c r="W203" s="1041">
        <v>173076.17</v>
      </c>
      <c r="X203" s="1041">
        <v>925968.47</v>
      </c>
      <c r="Y203">
        <v>0</v>
      </c>
    </row>
    <row r="204" spans="1:25" ht="12.75">
      <c r="A204" s="1072">
        <f t="shared" si="8"/>
        <v>10.119999999999976</v>
      </c>
      <c r="B204" s="838" t="s">
        <v>1275</v>
      </c>
      <c r="C204" s="838">
        <v>0</v>
      </c>
      <c r="D204" s="838">
        <v>0</v>
      </c>
      <c r="E204" s="1041"/>
      <c r="F204" s="1041"/>
      <c r="G204" s="1041">
        <f t="shared" si="7"/>
        <v>0</v>
      </c>
      <c r="H204" s="1041"/>
      <c r="I204" s="1041">
        <v>0</v>
      </c>
      <c r="J204" s="1041">
        <v>0</v>
      </c>
      <c r="K204" s="1041">
        <v>0</v>
      </c>
      <c r="L204" s="1041">
        <v>0</v>
      </c>
      <c r="M204" s="1041">
        <v>0</v>
      </c>
      <c r="N204" s="1041"/>
      <c r="O204" s="1041">
        <v>0</v>
      </c>
      <c r="P204" s="1041">
        <v>0</v>
      </c>
      <c r="Q204" s="1041">
        <v>0</v>
      </c>
      <c r="R204" s="1041">
        <v>0</v>
      </c>
      <c r="S204" s="1041">
        <v>0</v>
      </c>
      <c r="T204" s="1041"/>
      <c r="U204" s="1041">
        <v>0</v>
      </c>
      <c r="V204" s="1041">
        <v>0</v>
      </c>
      <c r="W204" s="1041">
        <v>0</v>
      </c>
      <c r="X204" s="1041">
        <v>0</v>
      </c>
      <c r="Y204">
        <v>0</v>
      </c>
    </row>
    <row r="205" spans="1:25" ht="12.75">
      <c r="A205" s="1072">
        <f t="shared" si="8"/>
        <v>10.129999999999976</v>
      </c>
      <c r="B205" s="838" t="s">
        <v>1276</v>
      </c>
      <c r="C205" s="838">
        <v>0</v>
      </c>
      <c r="D205" s="838">
        <v>0</v>
      </c>
      <c r="E205" s="1041"/>
      <c r="F205" s="1041"/>
      <c r="G205" s="1041">
        <f t="shared" si="7"/>
        <v>0</v>
      </c>
      <c r="H205" s="1041"/>
      <c r="I205" s="1041">
        <v>0</v>
      </c>
      <c r="J205" s="1041">
        <v>0</v>
      </c>
      <c r="K205" s="1041">
        <v>0</v>
      </c>
      <c r="L205" s="1041">
        <v>0</v>
      </c>
      <c r="M205" s="1041">
        <v>0</v>
      </c>
      <c r="N205" s="1041"/>
      <c r="O205" s="1041">
        <v>0</v>
      </c>
      <c r="P205" s="1041">
        <v>0</v>
      </c>
      <c r="Q205" s="1041">
        <v>0</v>
      </c>
      <c r="R205" s="1041">
        <v>0</v>
      </c>
      <c r="S205" s="1041">
        <v>0</v>
      </c>
      <c r="T205" s="1041"/>
      <c r="U205" s="1041">
        <v>0</v>
      </c>
      <c r="V205" s="1041">
        <v>0</v>
      </c>
      <c r="W205" s="1041">
        <v>0</v>
      </c>
      <c r="X205" s="1041">
        <v>0</v>
      </c>
      <c r="Y205">
        <v>0</v>
      </c>
    </row>
    <row r="206" spans="1:25" ht="12.75">
      <c r="A206" s="1072">
        <f t="shared" si="8"/>
        <v>10.139999999999976</v>
      </c>
      <c r="B206" s="838" t="s">
        <v>1277</v>
      </c>
      <c r="C206" s="838">
        <v>2532945.57</v>
      </c>
      <c r="D206" s="838">
        <v>2293506.66</v>
      </c>
      <c r="E206" s="1041"/>
      <c r="F206" s="1041"/>
      <c r="G206" s="1041">
        <f t="shared" si="7"/>
        <v>2413226</v>
      </c>
      <c r="H206" s="1041"/>
      <c r="I206" s="1041">
        <v>561665.3400000001</v>
      </c>
      <c r="J206" s="1041">
        <v>1124298.995</v>
      </c>
      <c r="K206" s="1041">
        <v>189451.315</v>
      </c>
      <c r="L206" s="1041">
        <v>537810.465</v>
      </c>
      <c r="M206" s="1041">
        <v>0</v>
      </c>
      <c r="N206" s="1041"/>
      <c r="O206" s="1041">
        <v>551709.01</v>
      </c>
      <c r="P206" s="1041">
        <v>1132363.33</v>
      </c>
      <c r="Q206" s="1041">
        <v>213204.16</v>
      </c>
      <c r="R206" s="1041">
        <v>635669.07</v>
      </c>
      <c r="S206" s="1041">
        <v>0</v>
      </c>
      <c r="T206" s="1041"/>
      <c r="U206" s="1041">
        <v>571621.67</v>
      </c>
      <c r="V206" s="1041">
        <v>1116234.66</v>
      </c>
      <c r="W206" s="1041">
        <v>165698.47</v>
      </c>
      <c r="X206" s="1041">
        <v>439951.86</v>
      </c>
      <c r="Y206">
        <v>0</v>
      </c>
    </row>
    <row r="207" spans="1:25" ht="12.75">
      <c r="A207" s="1072">
        <f t="shared" si="8"/>
        <v>10.149999999999975</v>
      </c>
      <c r="B207" s="838" t="s">
        <v>1278</v>
      </c>
      <c r="C207" s="838">
        <v>177550.8</v>
      </c>
      <c r="D207" s="838">
        <v>177550.8</v>
      </c>
      <c r="E207" s="1041"/>
      <c r="F207" s="1041"/>
      <c r="G207" s="1041">
        <f t="shared" si="7"/>
        <v>177551</v>
      </c>
      <c r="H207" s="1041"/>
      <c r="I207" s="1041">
        <v>177550.8</v>
      </c>
      <c r="J207" s="1041">
        <v>0</v>
      </c>
      <c r="K207" s="1041">
        <v>0</v>
      </c>
      <c r="L207" s="1041">
        <v>0</v>
      </c>
      <c r="M207" s="1041">
        <v>0</v>
      </c>
      <c r="N207" s="1041"/>
      <c r="O207" s="1041">
        <v>177550.8</v>
      </c>
      <c r="P207" s="1041">
        <v>0</v>
      </c>
      <c r="Q207" s="1041">
        <v>0</v>
      </c>
      <c r="R207" s="1041">
        <v>0</v>
      </c>
      <c r="S207" s="1041">
        <v>0</v>
      </c>
      <c r="T207" s="1041"/>
      <c r="U207" s="1041">
        <v>177550.8</v>
      </c>
      <c r="V207" s="1041">
        <v>0</v>
      </c>
      <c r="W207" s="1041">
        <v>0</v>
      </c>
      <c r="X207" s="1041">
        <v>0</v>
      </c>
      <c r="Y207">
        <v>0</v>
      </c>
    </row>
    <row r="208" spans="1:24" ht="12.75">
      <c r="A208" s="1072">
        <f t="shared" si="8"/>
        <v>10.159999999999975</v>
      </c>
      <c r="B208" s="838" t="s">
        <v>1089</v>
      </c>
      <c r="C208" s="838">
        <v>2594016</v>
      </c>
      <c r="D208" s="838">
        <v>973290</v>
      </c>
      <c r="E208" s="1041">
        <v>-2594016</v>
      </c>
      <c r="F208" s="1041">
        <v>-973290</v>
      </c>
      <c r="G208" s="1041">
        <f t="shared" si="7"/>
        <v>0</v>
      </c>
      <c r="H208" s="1041"/>
      <c r="I208" s="1041"/>
      <c r="J208" s="1041"/>
      <c r="K208" s="1041"/>
      <c r="L208" s="1041"/>
      <c r="M208" s="1041"/>
      <c r="N208" s="1041"/>
      <c r="O208" s="1041"/>
      <c r="P208" s="1041"/>
      <c r="Q208" s="1041"/>
      <c r="R208" s="1041"/>
      <c r="S208" s="1041"/>
      <c r="T208" s="1041"/>
      <c r="U208" s="1041"/>
      <c r="V208" s="1041"/>
      <c r="W208" s="1041"/>
      <c r="X208" s="1041"/>
    </row>
    <row r="209" spans="1:24" ht="12.75">
      <c r="A209" s="1072">
        <f t="shared" si="8"/>
        <v>10.169999999999975</v>
      </c>
      <c r="B209" s="838" t="s">
        <v>1279</v>
      </c>
      <c r="C209" s="838">
        <v>113847632</v>
      </c>
      <c r="D209" s="838">
        <v>54052468</v>
      </c>
      <c r="E209" s="1041">
        <v>-113847632</v>
      </c>
      <c r="F209" s="1041">
        <v>-54052468</v>
      </c>
      <c r="G209" s="1041">
        <f t="shared" si="7"/>
        <v>0</v>
      </c>
      <c r="H209" s="1041"/>
      <c r="I209" s="1041"/>
      <c r="J209" s="1041"/>
      <c r="K209" s="1041"/>
      <c r="L209" s="1041"/>
      <c r="M209" s="1041"/>
      <c r="N209" s="1041"/>
      <c r="O209" s="1041"/>
      <c r="P209" s="1041"/>
      <c r="Q209" s="1041"/>
      <c r="R209" s="1041"/>
      <c r="S209" s="1041"/>
      <c r="T209" s="1041"/>
      <c r="U209" s="1041"/>
      <c r="V209" s="1041"/>
      <c r="W209" s="1041"/>
      <c r="X209" s="1041"/>
    </row>
    <row r="210" spans="1:24" ht="12.75">
      <c r="A210" s="1072">
        <f t="shared" si="8"/>
        <v>10.179999999999975</v>
      </c>
      <c r="B210" s="838" t="s">
        <v>1280</v>
      </c>
      <c r="C210" s="838">
        <v>310</v>
      </c>
      <c r="D210" s="838">
        <v>-5353471</v>
      </c>
      <c r="E210" s="1041">
        <v>-310</v>
      </c>
      <c r="F210" s="1041">
        <v>5353471</v>
      </c>
      <c r="G210" s="1041">
        <f t="shared" si="7"/>
        <v>0</v>
      </c>
      <c r="H210" s="1041"/>
      <c r="I210" s="1041"/>
      <c r="J210" s="1041"/>
      <c r="K210" s="1041"/>
      <c r="L210" s="1041"/>
      <c r="M210" s="1041"/>
      <c r="N210" s="1041"/>
      <c r="O210" s="1041"/>
      <c r="P210" s="1041"/>
      <c r="Q210" s="1041"/>
      <c r="R210" s="1041"/>
      <c r="S210" s="1041"/>
      <c r="T210" s="1041"/>
      <c r="U210" s="1041"/>
      <c r="V210" s="1041"/>
      <c r="W210" s="1041"/>
      <c r="X210" s="1041"/>
    </row>
    <row r="211" spans="1:24" ht="12.75">
      <c r="A211" s="1072">
        <f t="shared" si="8"/>
        <v>10.189999999999975</v>
      </c>
      <c r="B211" s="838" t="s">
        <v>1281</v>
      </c>
      <c r="C211" s="838">
        <v>0</v>
      </c>
      <c r="D211" s="838">
        <v>0</v>
      </c>
      <c r="E211" s="1041">
        <v>0</v>
      </c>
      <c r="F211" s="1041">
        <v>0</v>
      </c>
      <c r="G211" s="1041">
        <f t="shared" si="7"/>
        <v>0</v>
      </c>
      <c r="H211" s="1041"/>
      <c r="I211" s="1041"/>
      <c r="J211" s="1041"/>
      <c r="K211" s="1041"/>
      <c r="L211" s="1041"/>
      <c r="M211" s="1041"/>
      <c r="N211" s="1041"/>
      <c r="O211" s="1041"/>
      <c r="P211" s="1041"/>
      <c r="Q211" s="1041"/>
      <c r="R211" s="1041"/>
      <c r="S211" s="1041"/>
      <c r="T211" s="1041"/>
      <c r="U211" s="1041"/>
      <c r="V211" s="1041"/>
      <c r="W211" s="1041"/>
      <c r="X211" s="1041"/>
    </row>
    <row r="212" spans="1:24" ht="12.75">
      <c r="A212" s="1072">
        <f t="shared" si="8"/>
        <v>10.199999999999974</v>
      </c>
      <c r="B212" s="838" t="s">
        <v>1282</v>
      </c>
      <c r="C212" s="838">
        <v>0</v>
      </c>
      <c r="D212" s="838">
        <v>0</v>
      </c>
      <c r="E212" s="1041">
        <v>0</v>
      </c>
      <c r="F212" s="1041">
        <v>0</v>
      </c>
      <c r="G212" s="1041">
        <f t="shared" si="7"/>
        <v>0</v>
      </c>
      <c r="H212" s="1041"/>
      <c r="I212" s="1041"/>
      <c r="J212" s="1041"/>
      <c r="K212" s="1041"/>
      <c r="L212" s="1041"/>
      <c r="M212" s="1041"/>
      <c r="N212" s="1041"/>
      <c r="O212" s="1041"/>
      <c r="P212" s="1041"/>
      <c r="Q212" s="1041"/>
      <c r="R212" s="1041"/>
      <c r="S212" s="1041"/>
      <c r="T212" s="1041"/>
      <c r="U212" s="1041"/>
      <c r="V212" s="1041"/>
      <c r="W212" s="1041"/>
      <c r="X212" s="1041"/>
    </row>
    <row r="213" spans="1:24" ht="12.75">
      <c r="A213" s="1072">
        <f>A212+0.01</f>
        <v>10.209999999999974</v>
      </c>
      <c r="B213" s="838"/>
      <c r="C213" s="838"/>
      <c r="D213" s="838"/>
      <c r="E213" s="1041">
        <f>-C213</f>
        <v>0</v>
      </c>
      <c r="F213" s="1041">
        <f>-D213</f>
        <v>0</v>
      </c>
      <c r="G213" s="1041">
        <f t="shared" si="7"/>
        <v>0</v>
      </c>
      <c r="H213" s="1041"/>
      <c r="I213" s="1041"/>
      <c r="J213" s="1041"/>
      <c r="K213" s="1041"/>
      <c r="L213" s="1041"/>
      <c r="M213" s="1041"/>
      <c r="N213" s="1041"/>
      <c r="O213" s="1041"/>
      <c r="P213" s="1041"/>
      <c r="Q213" s="1041"/>
      <c r="R213" s="1041"/>
      <c r="S213" s="1041"/>
      <c r="T213" s="1041"/>
      <c r="U213" s="1041"/>
      <c r="V213" s="1041"/>
      <c r="W213" s="1041"/>
      <c r="X213" s="1041"/>
    </row>
    <row r="214" spans="1:24" ht="12.75">
      <c r="A214" s="1052"/>
      <c r="B214" s="1031"/>
      <c r="C214" s="1041"/>
      <c r="D214" s="1041"/>
      <c r="E214" s="1041"/>
      <c r="F214" s="1041"/>
      <c r="G214" s="1041"/>
      <c r="H214" s="1041"/>
      <c r="I214" s="1041"/>
      <c r="J214" s="1041"/>
      <c r="K214" s="1041"/>
      <c r="L214" s="1041"/>
      <c r="M214" s="1041"/>
      <c r="N214" s="1041"/>
      <c r="O214" s="1041"/>
      <c r="P214" s="1041"/>
      <c r="Q214" s="1041"/>
      <c r="R214" s="1041"/>
      <c r="S214" s="1041"/>
      <c r="T214" s="1041"/>
      <c r="U214" s="1041"/>
      <c r="V214" s="1041"/>
      <c r="W214" s="1041"/>
      <c r="X214" s="1041"/>
    </row>
    <row r="215" spans="1:24" ht="12.75">
      <c r="A215" s="1052"/>
      <c r="B215" s="1031"/>
      <c r="C215" s="1041"/>
      <c r="D215" s="1041"/>
      <c r="E215" s="1041"/>
      <c r="F215" s="1041"/>
      <c r="G215" s="1041"/>
      <c r="H215" s="1041"/>
      <c r="I215" s="1041"/>
      <c r="J215" s="1041"/>
      <c r="K215" s="1041"/>
      <c r="L215" s="1041"/>
      <c r="M215" s="1041"/>
      <c r="N215" s="1041"/>
      <c r="O215" s="1041"/>
      <c r="P215" s="1041"/>
      <c r="Q215" s="1041"/>
      <c r="R215" s="1041"/>
      <c r="S215" s="1041"/>
      <c r="T215" s="1041"/>
      <c r="U215" s="1041"/>
      <c r="V215" s="1041"/>
      <c r="W215" s="1041"/>
      <c r="X215" s="1041"/>
    </row>
    <row r="216" spans="1:25" ht="13.5" thickBot="1">
      <c r="A216" s="1052">
        <v>10</v>
      </c>
      <c r="B216" s="1032"/>
      <c r="C216" s="1044">
        <f>SUM(C93:C215)</f>
        <v>962927216.6999999</v>
      </c>
      <c r="D216" s="1044">
        <f>SUM(D93:D215)</f>
        <v>965916189.98</v>
      </c>
      <c r="E216" s="1044">
        <f>SUM(E93:E215)</f>
        <v>-116441958</v>
      </c>
      <c r="F216" s="1044">
        <f>SUM(F93:F215)</f>
        <v>-49672287</v>
      </c>
      <c r="G216" s="1044">
        <f>SUM(G93:G215)</f>
        <v>881364582</v>
      </c>
      <c r="H216" s="1048"/>
      <c r="I216" s="1044">
        <f>SUM(I93:I215)</f>
        <v>38273822.165000014</v>
      </c>
      <c r="J216" s="1044">
        <f>SUM(J93:J215)</f>
        <v>808142026.94</v>
      </c>
      <c r="K216" s="1044">
        <f>SUM(K93:K215)</f>
        <v>7203117.865000001</v>
      </c>
      <c r="L216" s="1044">
        <f>SUM(L93:L215)</f>
        <v>27745613.869999986</v>
      </c>
      <c r="M216" s="1449">
        <f>SUM(M93:M215)</f>
        <v>0</v>
      </c>
      <c r="N216" s="1048"/>
      <c r="O216" s="1044">
        <f>SUM(O93:O215)</f>
        <v>38693830.96999999</v>
      </c>
      <c r="P216" s="1044">
        <f>SUM(P93:P215)</f>
        <v>769384103.67</v>
      </c>
      <c r="Q216" s="1044">
        <f>SUM(Q93:Q215)</f>
        <v>7600031.76</v>
      </c>
      <c r="R216" s="1044">
        <f>SUM(R93:R215)</f>
        <v>30807292.299999997</v>
      </c>
      <c r="S216" s="1044">
        <f>SUM(S93:S215)</f>
        <v>0</v>
      </c>
      <c r="T216" s="1048"/>
      <c r="U216" s="1044">
        <f>SUM(U93:U215)</f>
        <v>37853813.36000001</v>
      </c>
      <c r="V216" s="1044">
        <f>SUM(V93:V215)</f>
        <v>846899950.2099999</v>
      </c>
      <c r="W216" s="1044">
        <f>SUM(W93:W215)</f>
        <v>6806203.97</v>
      </c>
      <c r="X216" s="1044">
        <f>SUM(X93:X215)</f>
        <v>24683935.439999998</v>
      </c>
      <c r="Y216" s="1449">
        <f>SUM(Y93:Y215)</f>
        <v>0</v>
      </c>
    </row>
    <row r="217" spans="1:24" ht="13.5" thickTop="1">
      <c r="A217" s="1052"/>
      <c r="B217" s="1031"/>
      <c r="C217" s="1045"/>
      <c r="D217" s="1045"/>
      <c r="E217" s="1045"/>
      <c r="F217" s="1045"/>
      <c r="G217" s="1045"/>
      <c r="H217" s="1041"/>
      <c r="I217" s="1045"/>
      <c r="J217" s="1045"/>
      <c r="K217" s="1045"/>
      <c r="L217" s="1045"/>
      <c r="M217" s="1447"/>
      <c r="N217" s="1041"/>
      <c r="O217" s="1045"/>
      <c r="P217" s="1045"/>
      <c r="Q217" s="1045"/>
      <c r="R217" s="1045"/>
      <c r="S217" s="1447"/>
      <c r="T217" s="1041"/>
      <c r="U217" s="1045"/>
      <c r="V217" s="1045"/>
      <c r="W217" s="1045"/>
      <c r="X217" s="1045"/>
    </row>
    <row r="218" spans="1:24" ht="12.75">
      <c r="A218" s="1052"/>
      <c r="B218" s="1031"/>
      <c r="C218" s="1041"/>
      <c r="D218" s="1041"/>
      <c r="E218" s="1041"/>
      <c r="F218" s="1041"/>
      <c r="G218" s="1041"/>
      <c r="H218" s="1041"/>
      <c r="I218" s="1041"/>
      <c r="J218" s="1041"/>
      <c r="K218" s="1041"/>
      <c r="L218" s="1041"/>
      <c r="M218" s="1041"/>
      <c r="N218" s="1041"/>
      <c r="O218" s="1041"/>
      <c r="P218" s="1041"/>
      <c r="Q218" s="1041"/>
      <c r="R218" s="1041"/>
      <c r="S218" s="1041"/>
      <c r="T218" s="1041"/>
      <c r="U218" s="1041"/>
      <c r="V218" s="1041"/>
      <c r="W218" s="1041"/>
      <c r="X218" s="1041"/>
    </row>
    <row r="219" spans="1:24" ht="12.75">
      <c r="A219" s="1052">
        <f>+A216+1</f>
        <v>11</v>
      </c>
      <c r="B219" s="256" t="s">
        <v>721</v>
      </c>
      <c r="C219" s="1041">
        <v>0</v>
      </c>
      <c r="D219" s="1041">
        <v>0</v>
      </c>
      <c r="E219" s="1041"/>
      <c r="F219" s="1041"/>
      <c r="G219" s="1041">
        <f>ROUND(SUM(C219:F219)/2,0)</f>
        <v>0</v>
      </c>
      <c r="H219" s="1041"/>
      <c r="I219" s="1041">
        <f>(O219+U219)/2</f>
        <v>0</v>
      </c>
      <c r="J219" s="1041"/>
      <c r="K219" s="1041">
        <f>(Q219+W219)/2</f>
        <v>0</v>
      </c>
      <c r="L219" s="1041">
        <f>(R219+X219)/2</f>
        <v>0</v>
      </c>
      <c r="M219" s="1041"/>
      <c r="N219" s="1041"/>
      <c r="O219" s="838"/>
      <c r="P219" s="838"/>
      <c r="Q219" s="838"/>
      <c r="R219" s="838"/>
      <c r="S219" s="838"/>
      <c r="T219" s="1041"/>
      <c r="U219" s="838"/>
      <c r="V219" s="838"/>
      <c r="W219" s="838"/>
      <c r="X219" s="838"/>
    </row>
    <row r="220" spans="1:24" ht="12.75">
      <c r="A220" s="1072">
        <f>A219+0.01</f>
        <v>11.01</v>
      </c>
      <c r="B220" s="838" t="s">
        <v>1283</v>
      </c>
      <c r="C220" s="838">
        <v>158511941</v>
      </c>
      <c r="D220" s="838">
        <v>180354741</v>
      </c>
      <c r="E220" s="1041">
        <v>-158511941</v>
      </c>
      <c r="F220" s="1041">
        <v>-180354741</v>
      </c>
      <c r="G220" s="1041">
        <f>ROUND(SUM(C220:F220)/2,0)</f>
        <v>0</v>
      </c>
      <c r="H220" s="1041"/>
      <c r="I220" s="1041"/>
      <c r="J220" s="1041"/>
      <c r="K220" s="1041"/>
      <c r="L220" s="1041"/>
      <c r="M220" s="1041"/>
      <c r="N220" s="1041"/>
      <c r="O220" s="1041"/>
      <c r="P220" s="1041"/>
      <c r="Q220" s="1041"/>
      <c r="R220" s="1041"/>
      <c r="S220" s="1041"/>
      <c r="T220" s="1041"/>
      <c r="U220" s="1041"/>
      <c r="V220" s="1041"/>
      <c r="W220" s="1041"/>
      <c r="X220" s="1041"/>
    </row>
    <row r="221" spans="1:24" ht="12.75">
      <c r="A221" s="1052"/>
      <c r="B221" s="1031"/>
      <c r="C221" s="1041"/>
      <c r="D221" s="1041"/>
      <c r="E221" s="1041"/>
      <c r="F221" s="1041"/>
      <c r="G221" s="1041"/>
      <c r="H221" s="1041"/>
      <c r="I221" s="1041"/>
      <c r="J221" s="1041"/>
      <c r="K221" s="1041"/>
      <c r="L221" s="1041"/>
      <c r="M221" s="1041"/>
      <c r="N221" s="1041"/>
      <c r="O221" s="1041"/>
      <c r="P221" s="1041"/>
      <c r="Q221" s="1041"/>
      <c r="R221" s="1041"/>
      <c r="S221" s="1041"/>
      <c r="T221" s="1041"/>
      <c r="U221" s="1041"/>
      <c r="V221" s="1041"/>
      <c r="W221" s="1041"/>
      <c r="X221" s="1041"/>
    </row>
    <row r="222" spans="1:25" ht="13.5" thickBot="1">
      <c r="A222" s="1052">
        <f>+A219+1</f>
        <v>12</v>
      </c>
      <c r="B222" s="953" t="s">
        <v>722</v>
      </c>
      <c r="C222" s="1044">
        <f>SUM(C216:C221)</f>
        <v>1121439157.6999998</v>
      </c>
      <c r="D222" s="1044">
        <f>SUM(D216:D221)</f>
        <v>1146270930.98</v>
      </c>
      <c r="E222" s="1044">
        <f>SUM(E216:E221)</f>
        <v>-274953899</v>
      </c>
      <c r="F222" s="1044">
        <f>SUM(F216:F221)</f>
        <v>-230027028</v>
      </c>
      <c r="G222" s="1044">
        <f>SUM(G216:G221)</f>
        <v>881364582</v>
      </c>
      <c r="H222" s="1041"/>
      <c r="I222" s="1044">
        <f>SUM(I216:I221)</f>
        <v>38273822.165000014</v>
      </c>
      <c r="J222" s="1044">
        <f>SUM(J216:J221)</f>
        <v>808142026.94</v>
      </c>
      <c r="K222" s="1044">
        <f>SUM(K216:K221)</f>
        <v>7203117.865000001</v>
      </c>
      <c r="L222" s="1044">
        <f>SUM(L216:L221)</f>
        <v>27745613.869999986</v>
      </c>
      <c r="M222" s="1449">
        <f>SUM(M216:M221)</f>
        <v>0</v>
      </c>
      <c r="N222" s="1041"/>
      <c r="O222" s="1049">
        <f>SUM(O216:O221)</f>
        <v>38693830.96999999</v>
      </c>
      <c r="P222" s="1049">
        <f>SUM(P216:P221)</f>
        <v>769384103.67</v>
      </c>
      <c r="Q222" s="1049">
        <f>SUM(Q216:Q221)</f>
        <v>7600031.76</v>
      </c>
      <c r="R222" s="1049">
        <f>SUM(R216:R221)</f>
        <v>30807292.299999997</v>
      </c>
      <c r="S222" s="1449">
        <f>SUM(S216:S221)</f>
        <v>0</v>
      </c>
      <c r="T222" s="1041"/>
      <c r="U222" s="1044">
        <f>SUM(U216:U221)</f>
        <v>37853813.36000001</v>
      </c>
      <c r="V222" s="1044">
        <f>SUM(V216:V221)</f>
        <v>846899950.2099999</v>
      </c>
      <c r="W222" s="1044">
        <f>SUM(W216:W221)</f>
        <v>6806203.97</v>
      </c>
      <c r="X222" s="1044">
        <f>SUM(X216:X221)</f>
        <v>24683935.439999998</v>
      </c>
      <c r="Y222" s="1044">
        <f>SUM(Y216:Y221)</f>
        <v>0</v>
      </c>
    </row>
    <row r="223" spans="1:25" ht="13.5" thickTop="1">
      <c r="A223" s="1052">
        <f>A222+1</f>
        <v>13</v>
      </c>
      <c r="B223" s="1118" t="s">
        <v>733</v>
      </c>
      <c r="C223" s="1045">
        <f>C114+C168+C193</f>
        <v>671966147.34</v>
      </c>
      <c r="D223" s="1045">
        <f aca="true" t="shared" si="9" ref="D223:Y223">D114+D168+D193</f>
        <v>766470706.99</v>
      </c>
      <c r="E223" s="1045">
        <f t="shared" si="9"/>
        <v>0</v>
      </c>
      <c r="F223" s="1045">
        <f t="shared" si="9"/>
        <v>0</v>
      </c>
      <c r="G223" s="1045">
        <f t="shared" si="9"/>
        <v>719218427</v>
      </c>
      <c r="H223" s="1041"/>
      <c r="I223" s="1045">
        <f t="shared" si="9"/>
        <v>-9371023.29</v>
      </c>
      <c r="J223" s="1045">
        <f t="shared" si="9"/>
        <v>728589450.455</v>
      </c>
      <c r="K223" s="1045">
        <f t="shared" si="9"/>
        <v>0</v>
      </c>
      <c r="L223" s="1045">
        <f t="shared" si="9"/>
        <v>0</v>
      </c>
      <c r="M223" s="1045">
        <f t="shared" si="9"/>
        <v>0</v>
      </c>
      <c r="N223" s="1041"/>
      <c r="O223" s="1045">
        <f t="shared" si="9"/>
        <v>-9351456.12</v>
      </c>
      <c r="P223" s="1045">
        <f t="shared" si="9"/>
        <v>681317603.46</v>
      </c>
      <c r="Q223" s="1045">
        <f t="shared" si="9"/>
        <v>0</v>
      </c>
      <c r="R223" s="1045">
        <f t="shared" si="9"/>
        <v>0</v>
      </c>
      <c r="S223" s="1045">
        <f t="shared" si="9"/>
        <v>0</v>
      </c>
      <c r="T223" s="1041"/>
      <c r="U223" s="1045">
        <f t="shared" si="9"/>
        <v>-9390590.459999999</v>
      </c>
      <c r="V223" s="1045">
        <f t="shared" si="9"/>
        <v>775861297.45</v>
      </c>
      <c r="W223" s="1045">
        <f t="shared" si="9"/>
        <v>0</v>
      </c>
      <c r="X223" s="1045">
        <f t="shared" si="9"/>
        <v>0</v>
      </c>
      <c r="Y223" s="1045">
        <f t="shared" si="9"/>
        <v>0</v>
      </c>
    </row>
    <row r="224" spans="1:24" ht="12.75">
      <c r="A224" s="1052"/>
      <c r="B224" s="1031"/>
      <c r="C224" s="1047"/>
      <c r="D224" s="1047"/>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row>
    <row r="225" spans="1:24" ht="12.75">
      <c r="A225" s="1052">
        <f>+A223+1</f>
        <v>14</v>
      </c>
      <c r="B225" s="1032" t="s">
        <v>723</v>
      </c>
      <c r="C225" s="1041"/>
      <c r="D225" s="1041"/>
      <c r="E225" s="1041"/>
      <c r="F225" s="1041"/>
      <c r="G225" s="1041"/>
      <c r="H225" s="1041"/>
      <c r="I225" s="1041"/>
      <c r="J225" s="1041"/>
      <c r="K225" s="1041"/>
      <c r="L225" s="1041"/>
      <c r="M225" s="1041"/>
      <c r="N225" s="1041"/>
      <c r="O225" s="1041"/>
      <c r="P225" s="1041"/>
      <c r="Q225" s="1041"/>
      <c r="R225" s="1041"/>
      <c r="S225" s="1041"/>
      <c r="T225" s="1041"/>
      <c r="U225" s="1041"/>
      <c r="V225" s="1041"/>
      <c r="W225" s="1041"/>
      <c r="X225" s="1041"/>
    </row>
    <row r="226" spans="1:24" ht="12.75">
      <c r="A226" s="1052"/>
      <c r="B226" s="1031"/>
      <c r="C226" s="1041"/>
      <c r="D226" s="1041"/>
      <c r="E226" s="1041"/>
      <c r="F226" s="1041"/>
      <c r="G226" s="1041"/>
      <c r="H226" s="1041"/>
      <c r="I226" s="1041"/>
      <c r="J226" s="1041"/>
      <c r="K226" s="1041"/>
      <c r="L226" s="1041"/>
      <c r="M226" s="1041"/>
      <c r="N226" s="1041"/>
      <c r="O226" s="1041"/>
      <c r="P226" s="1041"/>
      <c r="Q226" s="1041"/>
      <c r="R226" s="1041"/>
      <c r="S226" s="1041"/>
      <c r="T226" s="1041"/>
      <c r="U226" s="1041"/>
      <c r="V226" s="1041"/>
      <c r="W226" s="1041"/>
      <c r="X226" s="1041"/>
    </row>
    <row r="227" spans="1:24" ht="12.75">
      <c r="A227" s="1052">
        <f>+A225+1</f>
        <v>15</v>
      </c>
      <c r="B227" s="1032" t="s">
        <v>724</v>
      </c>
      <c r="C227" s="1041"/>
      <c r="D227" s="1041"/>
      <c r="E227" s="1041"/>
      <c r="F227" s="1041"/>
      <c r="G227" s="1041"/>
      <c r="H227" s="1041"/>
      <c r="I227" s="1041"/>
      <c r="J227" s="1041"/>
      <c r="K227" s="1041"/>
      <c r="L227" s="1041"/>
      <c r="M227" s="1041"/>
      <c r="N227" s="1041"/>
      <c r="O227" s="1041"/>
      <c r="P227" s="1041"/>
      <c r="Q227" s="1041"/>
      <c r="R227" s="1041"/>
      <c r="S227" s="1041"/>
      <c r="T227" s="1041"/>
      <c r="U227" s="1041"/>
      <c r="V227" s="1041"/>
      <c r="W227" s="1041"/>
      <c r="X227" s="1041"/>
    </row>
    <row r="228" spans="1:24" ht="12.75">
      <c r="A228" s="1052"/>
      <c r="B228" s="1031"/>
      <c r="C228" s="1041"/>
      <c r="D228" s="1050"/>
      <c r="E228" s="1050"/>
      <c r="F228" s="1050"/>
      <c r="G228" s="1050"/>
      <c r="H228" s="1050"/>
      <c r="I228" s="1050"/>
      <c r="J228" s="1050"/>
      <c r="K228" s="1050"/>
      <c r="L228" s="1050"/>
      <c r="M228" s="1050"/>
      <c r="N228" s="1050"/>
      <c r="O228" s="1041"/>
      <c r="P228" s="1041"/>
      <c r="Q228" s="1041"/>
      <c r="R228" s="1041"/>
      <c r="S228" s="1041"/>
      <c r="T228" s="1041"/>
      <c r="U228" s="1041"/>
      <c r="V228" s="1041"/>
      <c r="W228" s="1041"/>
      <c r="X228" s="1041"/>
    </row>
    <row r="229" spans="1:24" ht="12.75">
      <c r="A229" s="1052">
        <f>+A227+1</f>
        <v>16</v>
      </c>
      <c r="B229" s="1032" t="s">
        <v>725</v>
      </c>
      <c r="C229" s="1041"/>
      <c r="D229" s="1050"/>
      <c r="E229" s="1050"/>
      <c r="F229" s="1050"/>
      <c r="G229" s="1050"/>
      <c r="H229" s="1050"/>
      <c r="I229" s="1050"/>
      <c r="J229" s="1050"/>
      <c r="K229" s="1050"/>
      <c r="L229" s="1050"/>
      <c r="M229" s="1050"/>
      <c r="N229" s="1050"/>
      <c r="O229" s="1041"/>
      <c r="P229" s="1041"/>
      <c r="Q229" s="1041"/>
      <c r="R229" s="1041"/>
      <c r="S229" s="1041"/>
      <c r="T229" s="1041"/>
      <c r="U229" s="1041"/>
      <c r="V229" s="1041"/>
      <c r="W229" s="1041"/>
      <c r="X229" s="1041"/>
    </row>
    <row r="230" spans="1:24" ht="12.75">
      <c r="A230" s="1052"/>
      <c r="B230" s="1031"/>
      <c r="C230" s="1041"/>
      <c r="D230" s="1041"/>
      <c r="E230" s="1041"/>
      <c r="F230" s="1041"/>
      <c r="G230" s="1041"/>
      <c r="H230" s="1041"/>
      <c r="I230" s="1041"/>
      <c r="J230" s="1041"/>
      <c r="K230" s="1041"/>
      <c r="L230" s="1041"/>
      <c r="M230" s="1041"/>
      <c r="N230" s="1041"/>
      <c r="O230" s="1041"/>
      <c r="P230" s="1041"/>
      <c r="Q230" s="1041"/>
      <c r="R230" s="1041"/>
      <c r="S230" s="1041"/>
      <c r="T230" s="1041"/>
      <c r="U230" s="1041"/>
      <c r="V230" s="1041"/>
      <c r="W230" s="1041"/>
      <c r="X230" s="1041"/>
    </row>
    <row r="231" spans="1:24" ht="12.75">
      <c r="A231" s="1052">
        <f>+A229+1</f>
        <v>17</v>
      </c>
      <c r="B231" s="256" t="s">
        <v>726</v>
      </c>
      <c r="C231" s="1041"/>
      <c r="D231" s="1041"/>
      <c r="E231" s="1041"/>
      <c r="F231" s="1041"/>
      <c r="G231" s="1041"/>
      <c r="H231" s="1041"/>
      <c r="I231" s="1041"/>
      <c r="J231" s="1041"/>
      <c r="K231" s="1041"/>
      <c r="L231" s="1041"/>
      <c r="M231" s="1041"/>
      <c r="N231" s="1041"/>
      <c r="O231" s="1041"/>
      <c r="P231" s="1041"/>
      <c r="Q231" s="1041"/>
      <c r="R231" s="1041"/>
      <c r="S231" s="1041"/>
      <c r="T231" s="1041"/>
      <c r="U231" s="1041"/>
      <c r="V231" s="1041"/>
      <c r="W231" s="1041"/>
      <c r="X231" s="1041"/>
    </row>
    <row r="232" spans="1:24" ht="12.75">
      <c r="A232" s="1052">
        <f>A231+1</f>
        <v>18</v>
      </c>
      <c r="B232" s="256" t="s">
        <v>727</v>
      </c>
      <c r="C232" s="1041"/>
      <c r="D232" s="1041"/>
      <c r="E232" s="1041"/>
      <c r="F232" s="1041"/>
      <c r="G232" s="1041"/>
      <c r="H232" s="1041"/>
      <c r="I232" s="1041"/>
      <c r="J232" s="1041"/>
      <c r="K232" s="1041"/>
      <c r="L232" s="1041"/>
      <c r="M232" s="1041"/>
      <c r="N232" s="1041"/>
      <c r="O232" s="1041"/>
      <c r="P232" s="1041"/>
      <c r="Q232" s="1041"/>
      <c r="R232" s="1041"/>
      <c r="S232" s="1041"/>
      <c r="T232" s="1041"/>
      <c r="U232" s="838"/>
      <c r="V232" s="838"/>
      <c r="W232" s="1041"/>
      <c r="X232" s="1041"/>
    </row>
    <row r="233" spans="1:24" ht="12.75">
      <c r="A233" s="1072">
        <f>A232+0.01</f>
        <v>18.01</v>
      </c>
      <c r="B233" s="838"/>
      <c r="C233" s="1041">
        <f>SUM(O233:R233)</f>
        <v>0</v>
      </c>
      <c r="D233" s="1041">
        <f>SUM(U233:X233)</f>
        <v>0</v>
      </c>
      <c r="E233" s="1041"/>
      <c r="F233" s="1041"/>
      <c r="G233" s="1041">
        <f>ROUND(SUM(C233:F233)/2,0)</f>
        <v>0</v>
      </c>
      <c r="H233" s="1041"/>
      <c r="I233" s="1041">
        <f>(O233+U233)/2</f>
        <v>0</v>
      </c>
      <c r="J233" s="1041"/>
      <c r="K233" s="1041">
        <f>(Q233+W233)/2</f>
        <v>0</v>
      </c>
      <c r="L233" s="1041">
        <f>(R233+X233)/2</f>
        <v>0</v>
      </c>
      <c r="M233" s="1041"/>
      <c r="N233" s="1041"/>
      <c r="O233" s="838"/>
      <c r="P233" s="838"/>
      <c r="Q233" s="838"/>
      <c r="R233" s="838"/>
      <c r="S233" s="838"/>
      <c r="T233" s="1041"/>
      <c r="U233" s="838"/>
      <c r="V233" s="838"/>
      <c r="W233" s="838"/>
      <c r="X233" s="838"/>
    </row>
    <row r="234" spans="1:24" ht="12.75">
      <c r="A234" s="1072">
        <f>A233+0.01</f>
        <v>18.020000000000003</v>
      </c>
      <c r="B234" s="838"/>
      <c r="C234" s="1041">
        <f>SUM(O234:R234)</f>
        <v>0</v>
      </c>
      <c r="D234" s="1041">
        <f>SUM(U234:X234)</f>
        <v>0</v>
      </c>
      <c r="E234" s="1041"/>
      <c r="F234" s="1041"/>
      <c r="G234" s="1041">
        <f>ROUND(SUM(C234:F234)/2,0)</f>
        <v>0</v>
      </c>
      <c r="H234" s="1041"/>
      <c r="I234" s="1041">
        <f>(O234+U234)/2</f>
        <v>0</v>
      </c>
      <c r="J234" s="1041"/>
      <c r="K234" s="1041">
        <f>(Q234+W234)/2</f>
        <v>0</v>
      </c>
      <c r="L234" s="1041">
        <f>(R234+X234)/2</f>
        <v>0</v>
      </c>
      <c r="M234" s="1041"/>
      <c r="N234" s="1041"/>
      <c r="O234" s="838"/>
      <c r="P234" s="838"/>
      <c r="Q234" s="838"/>
      <c r="R234" s="838"/>
      <c r="S234" s="838"/>
      <c r="T234" s="1041"/>
      <c r="U234" s="838"/>
      <c r="V234" s="838"/>
      <c r="W234" s="838"/>
      <c r="X234" s="838"/>
    </row>
    <row r="235" spans="1:24" ht="12.75">
      <c r="A235" s="1052">
        <f>INT(A234)+1</f>
        <v>19</v>
      </c>
      <c r="B235" s="1032"/>
      <c r="C235" s="1041"/>
      <c r="D235" s="1041"/>
      <c r="E235" s="1041"/>
      <c r="F235" s="1041"/>
      <c r="G235" s="1041"/>
      <c r="H235" s="1041"/>
      <c r="I235" s="1041"/>
      <c r="J235" s="1041"/>
      <c r="K235" s="1041"/>
      <c r="L235" s="1041"/>
      <c r="M235" s="1041"/>
      <c r="N235" s="1041"/>
      <c r="O235" s="1041"/>
      <c r="P235" s="1041"/>
      <c r="Q235" s="1041"/>
      <c r="R235" s="1041"/>
      <c r="S235" s="1041"/>
      <c r="T235" s="1041"/>
      <c r="U235" s="1041"/>
      <c r="V235" s="1041"/>
      <c r="W235" s="1041"/>
      <c r="X235" s="1041"/>
    </row>
    <row r="236" spans="1:24" ht="12.75">
      <c r="A236" s="1052">
        <f>A235+1</f>
        <v>20</v>
      </c>
      <c r="B236" s="256" t="s">
        <v>728</v>
      </c>
      <c r="C236" s="1044">
        <f>SUM(C233:C235)</f>
        <v>0</v>
      </c>
      <c r="D236" s="1044">
        <f>SUM(D233:D235)</f>
        <v>0</v>
      </c>
      <c r="E236" s="1044">
        <f>SUM(E233:E235)</f>
        <v>0</v>
      </c>
      <c r="F236" s="1044">
        <f>SUM(F233:F235)</f>
        <v>0</v>
      </c>
      <c r="G236" s="1044">
        <f>SUM(G233:G235)</f>
        <v>0</v>
      </c>
      <c r="H236" s="1041"/>
      <c r="I236" s="1044">
        <f>SUM(I233:I235)</f>
        <v>0</v>
      </c>
      <c r="J236" s="1044"/>
      <c r="K236" s="1044">
        <f>SUM(K233:K235)</f>
        <v>0</v>
      </c>
      <c r="L236" s="1044">
        <f>SUM(L233:L235)</f>
        <v>0</v>
      </c>
      <c r="M236" s="1447"/>
      <c r="N236" s="1041"/>
      <c r="O236" s="1044">
        <f>SUM(O233:O235)</f>
        <v>0</v>
      </c>
      <c r="P236" s="1044"/>
      <c r="Q236" s="1044">
        <f>SUM(Q233:Q235)</f>
        <v>0</v>
      </c>
      <c r="R236" s="1044">
        <f>SUM(R233:R235)</f>
        <v>0</v>
      </c>
      <c r="S236" s="1447"/>
      <c r="T236" s="1041"/>
      <c r="U236" s="1044">
        <f>SUM(U233:U235)</f>
        <v>0</v>
      </c>
      <c r="V236" s="1044"/>
      <c r="W236" s="1044">
        <f>SUM(W233:W235)</f>
        <v>0</v>
      </c>
      <c r="X236" s="1044">
        <f>SUM(X233:X235)</f>
        <v>0</v>
      </c>
    </row>
  </sheetData>
  <sheetProtection/>
  <printOptions/>
  <pageMargins left="0.7" right="0.7" top="0.75" bottom="0.75" header="0.3" footer="0.3"/>
  <pageSetup fitToHeight="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Y138"/>
  <sheetViews>
    <sheetView zoomScalePageLayoutView="0" workbookViewId="0" topLeftCell="Q1">
      <selection activeCell="S13" sqref="S13"/>
    </sheetView>
  </sheetViews>
  <sheetFormatPr defaultColWidth="9.140625" defaultRowHeight="12.75"/>
  <cols>
    <col min="1" max="1" width="6.00390625" style="0" customWidth="1"/>
    <col min="2" max="2" width="54.57421875" style="0" bestFit="1" customWidth="1"/>
    <col min="3" max="3" width="13.421875" style="0" bestFit="1" customWidth="1"/>
    <col min="4" max="4" width="14.421875" style="0" customWidth="1"/>
    <col min="5" max="6" width="17.00390625" style="0" customWidth="1"/>
    <col min="7" max="7" width="15.28125" style="0" bestFit="1" customWidth="1"/>
    <col min="9" max="9" width="13.140625" style="0" bestFit="1" customWidth="1"/>
    <col min="10" max="10" width="15.00390625" style="0" bestFit="1" customWidth="1"/>
    <col min="11" max="11" width="14.7109375" style="0" customWidth="1"/>
    <col min="12" max="12" width="15.7109375" style="0" customWidth="1"/>
    <col min="13" max="13" width="13.140625" style="0" bestFit="1" customWidth="1"/>
    <col min="14" max="14" width="3.140625" style="0" customWidth="1"/>
    <col min="15" max="15" width="15.00390625" style="0" bestFit="1" customWidth="1"/>
    <col min="16" max="16" width="15.00390625" style="0" customWidth="1"/>
    <col min="17" max="17" width="15.140625" style="0" customWidth="1"/>
    <col min="18" max="18" width="15.421875" style="0" customWidth="1"/>
    <col min="19" max="19" width="13.140625" style="0" bestFit="1" customWidth="1"/>
    <col min="20" max="20" width="3.8515625" style="0" customWidth="1"/>
    <col min="21" max="21" width="15.00390625" style="0" bestFit="1" customWidth="1"/>
    <col min="22" max="22" width="13.57421875" style="0" bestFit="1" customWidth="1"/>
    <col min="23" max="23" width="15.7109375" style="0" customWidth="1"/>
    <col min="24" max="24" width="15.28125" style="0" customWidth="1"/>
    <col min="25" max="25" width="14.28125" style="0" customWidth="1"/>
  </cols>
  <sheetData>
    <row r="1" spans="1:22" ht="12.75">
      <c r="A1" s="1053"/>
      <c r="B1" s="1117" t="str">
        <f>'I&amp;M TCOS'!F7</f>
        <v>INDIANA MICHIGAN POWER COMPANY</v>
      </c>
      <c r="C1" s="1054"/>
      <c r="D1" s="1054"/>
      <c r="E1" s="1054"/>
      <c r="F1" s="1031"/>
      <c r="G1" s="256"/>
      <c r="H1" s="256"/>
      <c r="I1" s="256"/>
      <c r="J1" s="256"/>
      <c r="K1" s="256"/>
      <c r="L1" s="256"/>
      <c r="M1" s="1031"/>
      <c r="N1" s="1441"/>
      <c r="O1" s="1031"/>
      <c r="P1" s="1031"/>
      <c r="Q1" s="256"/>
      <c r="R1" s="1031"/>
      <c r="S1" s="1031"/>
      <c r="T1" s="1031"/>
      <c r="U1" s="1031"/>
      <c r="V1" s="256"/>
    </row>
    <row r="2" spans="1:22" ht="12.75">
      <c r="A2" s="1053"/>
      <c r="B2" s="1030" t="s">
        <v>766</v>
      </c>
      <c r="C2" s="1054"/>
      <c r="D2" s="1054"/>
      <c r="E2" s="1054"/>
      <c r="F2" s="1054"/>
      <c r="G2" s="1055"/>
      <c r="H2" s="1055"/>
      <c r="I2" s="1055"/>
      <c r="J2" s="1055"/>
      <c r="K2" s="1055"/>
      <c r="L2" s="1055"/>
      <c r="M2" s="1031"/>
      <c r="N2" s="1441"/>
      <c r="O2" s="1031"/>
      <c r="P2" s="1031"/>
      <c r="Q2" s="1055"/>
      <c r="R2" s="1031"/>
      <c r="S2" s="1031"/>
      <c r="T2" s="1031"/>
      <c r="U2" s="1031"/>
      <c r="V2" s="1055"/>
    </row>
    <row r="3" spans="1:22" ht="12.75">
      <c r="A3" s="1053"/>
      <c r="B3" s="1030" t="str">
        <f>"PERIOD ENDED DECEMBER 31, "&amp;'I&amp;M TCOS'!L2</f>
        <v>PERIOD ENDED DECEMBER 31, 2017</v>
      </c>
      <c r="C3" s="1054"/>
      <c r="D3" s="1054"/>
      <c r="E3" s="1054"/>
      <c r="F3" s="1054"/>
      <c r="G3" s="1054"/>
      <c r="H3" s="1054"/>
      <c r="I3" s="1054"/>
      <c r="J3" s="1054"/>
      <c r="K3" s="1054"/>
      <c r="L3" s="1054"/>
      <c r="M3" s="1031"/>
      <c r="N3" s="1441"/>
      <c r="O3" s="1031"/>
      <c r="P3" s="1031"/>
      <c r="Q3" s="1031"/>
      <c r="R3" s="1031"/>
      <c r="S3" s="1031"/>
      <c r="T3" s="1031"/>
      <c r="U3" s="1031"/>
      <c r="V3" s="1031"/>
    </row>
    <row r="4" spans="1:22" ht="12.75">
      <c r="A4" s="1053"/>
      <c r="B4" s="1040"/>
      <c r="C4" s="1054"/>
      <c r="D4" s="1054"/>
      <c r="E4" s="1054"/>
      <c r="F4" s="1054"/>
      <c r="G4" s="1" t="s">
        <v>729</v>
      </c>
      <c r="H4" s="1054"/>
      <c r="I4" s="1054"/>
      <c r="J4" s="1054"/>
      <c r="K4" s="1054"/>
      <c r="L4" s="1054"/>
      <c r="M4" s="1031"/>
      <c r="N4" s="1441"/>
      <c r="O4" s="1031"/>
      <c r="P4" s="1031"/>
      <c r="Q4" s="1031"/>
      <c r="R4" s="1031"/>
      <c r="S4" s="1031"/>
      <c r="T4" s="1031"/>
      <c r="U4" s="1031"/>
      <c r="V4" s="1031"/>
    </row>
    <row r="5" spans="1:22" ht="12.75">
      <c r="A5" s="1053"/>
      <c r="B5" s="1033"/>
      <c r="C5" s="1054"/>
      <c r="D5" s="1054"/>
      <c r="E5" s="1054"/>
      <c r="F5" s="1054"/>
      <c r="G5" s="1054"/>
      <c r="H5" s="1054"/>
      <c r="I5" s="1054"/>
      <c r="J5" s="1054"/>
      <c r="K5" s="1054"/>
      <c r="L5" s="1054"/>
      <c r="M5" s="1031"/>
      <c r="N5" s="1441"/>
      <c r="O5" s="1031"/>
      <c r="P5" s="1031"/>
      <c r="Q5" s="1031"/>
      <c r="R5" s="1031"/>
      <c r="S5" s="1031"/>
      <c r="T5" s="1031"/>
      <c r="U5" s="1031"/>
      <c r="V5" s="1031"/>
    </row>
    <row r="6" spans="1:22" ht="12.75">
      <c r="A6" s="1053"/>
      <c r="B6" s="1031"/>
      <c r="C6" s="1054"/>
      <c r="D6" s="1054"/>
      <c r="E6" s="1054"/>
      <c r="F6" s="1054"/>
      <c r="G6" s="1054"/>
      <c r="H6" s="1"/>
      <c r="I6" s="1"/>
      <c r="J6" s="1"/>
      <c r="K6" s="1"/>
      <c r="L6" s="1"/>
      <c r="M6" s="1031"/>
      <c r="N6" s="1441"/>
      <c r="O6" s="1031"/>
      <c r="P6" s="1031"/>
      <c r="Q6" s="1031"/>
      <c r="R6" s="1031"/>
      <c r="S6" s="1031"/>
      <c r="T6" s="1031"/>
      <c r="U6" s="1031"/>
      <c r="V6" s="1031"/>
    </row>
    <row r="7" spans="1:22" ht="12.75">
      <c r="A7" s="1053"/>
      <c r="B7" s="1031"/>
      <c r="C7" s="1054"/>
      <c r="D7" s="1054"/>
      <c r="E7" s="1054"/>
      <c r="F7" s="1054"/>
      <c r="G7" s="1054"/>
      <c r="H7" s="1054"/>
      <c r="I7" s="1054"/>
      <c r="J7" s="1054"/>
      <c r="K7" s="1054"/>
      <c r="L7" s="1054"/>
      <c r="M7" s="1031"/>
      <c r="N7" s="1441"/>
      <c r="O7" s="1031"/>
      <c r="P7" s="1031"/>
      <c r="Q7" s="1031"/>
      <c r="R7" s="1031"/>
      <c r="S7" s="1031"/>
      <c r="T7" s="1031"/>
      <c r="U7" s="1031"/>
      <c r="V7" s="1031"/>
    </row>
    <row r="8" spans="1:25" ht="12.75">
      <c r="A8" s="1053"/>
      <c r="B8" s="1034" t="s">
        <v>689</v>
      </c>
      <c r="C8" s="1056" t="s">
        <v>690</v>
      </c>
      <c r="D8" s="1056" t="s">
        <v>691</v>
      </c>
      <c r="E8" s="1056" t="s">
        <v>692</v>
      </c>
      <c r="F8" s="1056" t="s">
        <v>693</v>
      </c>
      <c r="G8" s="1056" t="s">
        <v>694</v>
      </c>
      <c r="H8" s="1056"/>
      <c r="I8" s="1056" t="s">
        <v>695</v>
      </c>
      <c r="J8" s="1056" t="s">
        <v>696</v>
      </c>
      <c r="K8" s="1056" t="s">
        <v>697</v>
      </c>
      <c r="L8" s="1034" t="s">
        <v>698</v>
      </c>
      <c r="M8" s="1034" t="s">
        <v>699</v>
      </c>
      <c r="N8" s="1442"/>
      <c r="O8" s="1034" t="s">
        <v>700</v>
      </c>
      <c r="P8" s="1034" t="s">
        <v>701</v>
      </c>
      <c r="Q8" s="1034" t="s">
        <v>702</v>
      </c>
      <c r="R8" s="1034" t="s">
        <v>703</v>
      </c>
      <c r="S8" s="1034" t="s">
        <v>1100</v>
      </c>
      <c r="T8" s="1034"/>
      <c r="U8" s="1034" t="s">
        <v>1101</v>
      </c>
      <c r="V8" s="1034" t="s">
        <v>1102</v>
      </c>
      <c r="W8" s="1034" t="s">
        <v>1103</v>
      </c>
      <c r="X8" s="1034" t="s">
        <v>1104</v>
      </c>
      <c r="Y8" s="1034" t="s">
        <v>1105</v>
      </c>
    </row>
    <row r="9" spans="1:23" ht="12.75">
      <c r="A9" s="1053"/>
      <c r="B9" s="1031"/>
      <c r="C9" s="1054"/>
      <c r="D9" s="1054"/>
      <c r="E9" s="1054"/>
      <c r="F9" s="1054"/>
      <c r="G9" s="1054"/>
      <c r="H9" s="1054"/>
      <c r="I9" s="1054"/>
      <c r="J9" s="1054"/>
      <c r="K9" s="1054"/>
      <c r="L9" s="1054"/>
      <c r="N9" s="1352"/>
      <c r="O9" s="1031"/>
      <c r="P9" s="1031"/>
      <c r="Q9" s="1031"/>
      <c r="R9" s="1031"/>
      <c r="U9" s="1031"/>
      <c r="V9" s="1031"/>
      <c r="W9" s="1031"/>
    </row>
    <row r="10" spans="1:23" ht="12.75">
      <c r="A10" s="1053"/>
      <c r="B10" s="1031"/>
      <c r="C10" s="1057" t="s">
        <v>704</v>
      </c>
      <c r="D10" s="1057"/>
      <c r="E10" s="1058" t="s">
        <v>705</v>
      </c>
      <c r="F10" s="1057"/>
      <c r="G10" s="1059" t="s">
        <v>706</v>
      </c>
      <c r="H10" s="1059"/>
      <c r="I10" s="1060" t="s">
        <v>707</v>
      </c>
      <c r="J10" s="1057"/>
      <c r="K10" s="1057"/>
      <c r="L10" s="1059"/>
      <c r="N10" s="1352"/>
      <c r="O10" s="1038" t="str">
        <f>"FUNCTIONALIZATION 12/31/"&amp;'I&amp;M TCOS'!L2-1</f>
        <v>FUNCTIONALIZATION 12/31/2016</v>
      </c>
      <c r="P10" s="1038"/>
      <c r="Q10" s="1035"/>
      <c r="R10" s="1035"/>
      <c r="U10" s="1038" t="str">
        <f>"FUNCTIONALIZATION 12/31/"&amp;'I&amp;M TCOS'!L2</f>
        <v>FUNCTIONALIZATION 12/31/2017</v>
      </c>
      <c r="V10" s="1035"/>
      <c r="W10" s="1035"/>
    </row>
    <row r="11" spans="1:23" ht="12.75">
      <c r="A11" s="1053"/>
      <c r="B11" s="1031"/>
      <c r="C11" s="1061"/>
      <c r="D11" s="1061"/>
      <c r="E11" s="1054"/>
      <c r="F11" s="1054"/>
      <c r="G11" s="1059" t="s">
        <v>708</v>
      </c>
      <c r="H11" s="1059"/>
      <c r="I11" s="1061"/>
      <c r="J11" s="1061"/>
      <c r="K11" s="1061"/>
      <c r="L11" s="1059"/>
      <c r="N11" s="1352"/>
      <c r="O11" s="1039"/>
      <c r="P11" s="1039"/>
      <c r="Q11" s="1039"/>
      <c r="R11" s="1039"/>
      <c r="U11" s="1039"/>
      <c r="V11" s="1039"/>
      <c r="W11" s="1039"/>
    </row>
    <row r="12" spans="1:23" ht="12.75">
      <c r="A12" s="1053"/>
      <c r="B12" s="1031"/>
      <c r="C12" s="1059" t="s">
        <v>709</v>
      </c>
      <c r="D12" s="1059" t="s">
        <v>709</v>
      </c>
      <c r="E12" s="1059" t="s">
        <v>709</v>
      </c>
      <c r="F12" s="1059" t="s">
        <v>709</v>
      </c>
      <c r="G12" s="1059" t="s">
        <v>710</v>
      </c>
      <c r="H12" s="1059"/>
      <c r="I12" s="1054"/>
      <c r="J12" s="1054"/>
      <c r="K12" s="1054"/>
      <c r="L12" s="1059"/>
      <c r="N12" s="1352"/>
      <c r="O12" s="1031"/>
      <c r="P12" s="1031"/>
      <c r="Q12" s="1031"/>
      <c r="R12" s="1031"/>
      <c r="U12" s="1031"/>
      <c r="V12" s="1031"/>
      <c r="W12" s="1031"/>
    </row>
    <row r="13" spans="1:25" ht="12.75">
      <c r="A13" s="1053"/>
      <c r="B13" s="1034" t="s">
        <v>711</v>
      </c>
      <c r="C13" s="1056" t="str">
        <f>"OF 12-31-"&amp;'I&amp;M TCOS'!L2-1</f>
        <v>OF 12-31-2016</v>
      </c>
      <c r="D13" s="1056" t="str">
        <f>"OF 12-31-"&amp;'I&amp;M TCOS'!L2</f>
        <v>OF 12-31-2017</v>
      </c>
      <c r="E13" s="1056" t="str">
        <f>"OF 12-31-"&amp;'I&amp;M TCOS'!L2-1</f>
        <v>OF 12-31-2016</v>
      </c>
      <c r="F13" s="1056" t="str">
        <f>"OF 12-31-"&amp;'I&amp;M TCOS'!L2</f>
        <v>OF 12-31-2017</v>
      </c>
      <c r="G13" s="1056" t="s">
        <v>712</v>
      </c>
      <c r="H13" s="1056"/>
      <c r="I13" s="1056" t="s">
        <v>713</v>
      </c>
      <c r="J13" s="1056" t="s">
        <v>1098</v>
      </c>
      <c r="K13" s="1056" t="s">
        <v>714</v>
      </c>
      <c r="L13" s="1056" t="s">
        <v>715</v>
      </c>
      <c r="M13" s="1056" t="s">
        <v>1099</v>
      </c>
      <c r="N13" s="1442"/>
      <c r="O13" s="1034" t="s">
        <v>713</v>
      </c>
      <c r="P13" s="1056" t="s">
        <v>1098</v>
      </c>
      <c r="Q13" s="1034" t="s">
        <v>714</v>
      </c>
      <c r="R13" s="1034" t="s">
        <v>715</v>
      </c>
      <c r="S13" s="1056" t="s">
        <v>1099</v>
      </c>
      <c r="T13" s="1056"/>
      <c r="U13" s="1034" t="s">
        <v>713</v>
      </c>
      <c r="V13" s="1056" t="s">
        <v>1098</v>
      </c>
      <c r="W13" s="1034" t="s">
        <v>714</v>
      </c>
      <c r="X13" s="1034" t="s">
        <v>715</v>
      </c>
      <c r="Y13" s="1056" t="s">
        <v>1099</v>
      </c>
    </row>
    <row r="14" spans="1:23" ht="12.75">
      <c r="A14" s="1053"/>
      <c r="B14" s="1031"/>
      <c r="C14" s="1054"/>
      <c r="D14" s="1054"/>
      <c r="E14" s="1054"/>
      <c r="F14" s="1054"/>
      <c r="G14" s="1054"/>
      <c r="H14" s="1054"/>
      <c r="I14" s="1054"/>
      <c r="J14" s="1054"/>
      <c r="K14" s="1054"/>
      <c r="L14" s="1054"/>
      <c r="M14" s="1031"/>
      <c r="N14" s="1441"/>
      <c r="O14" s="1031"/>
      <c r="P14" s="1031"/>
      <c r="Q14" s="1031"/>
      <c r="R14" s="1031"/>
      <c r="U14" s="1031"/>
      <c r="V14" s="1031"/>
      <c r="W14" s="1031"/>
    </row>
    <row r="15" spans="1:23" ht="12.75">
      <c r="A15" s="1062">
        <v>1</v>
      </c>
      <c r="B15" s="1047" t="s">
        <v>730</v>
      </c>
      <c r="C15" s="1041"/>
      <c r="D15" s="1041"/>
      <c r="E15" s="1041"/>
      <c r="F15" s="1042"/>
      <c r="G15" s="1041"/>
      <c r="H15" s="1041"/>
      <c r="I15" s="1041"/>
      <c r="J15" s="1041"/>
      <c r="K15" s="1041"/>
      <c r="L15" s="1041"/>
      <c r="M15" s="1041"/>
      <c r="N15" s="1438"/>
      <c r="O15" s="1041"/>
      <c r="P15" s="1041"/>
      <c r="Q15" s="1041"/>
      <c r="R15" s="1041"/>
      <c r="U15" s="1041"/>
      <c r="V15" s="1041"/>
      <c r="W15" s="1041"/>
    </row>
    <row r="16" spans="1:23" ht="12.75">
      <c r="A16" s="1062"/>
      <c r="B16" s="1041"/>
      <c r="C16" s="1041"/>
      <c r="D16" s="1041"/>
      <c r="E16" s="1041"/>
      <c r="F16" s="1041"/>
      <c r="G16" s="1041"/>
      <c r="H16" s="1041"/>
      <c r="I16" s="1041"/>
      <c r="J16" s="1041"/>
      <c r="K16" s="1041"/>
      <c r="L16" s="1041"/>
      <c r="M16" s="1041"/>
      <c r="N16" s="1438"/>
      <c r="O16" s="1041"/>
      <c r="P16" s="1041"/>
      <c r="Q16" s="1041"/>
      <c r="R16" s="1041"/>
      <c r="U16" s="1041"/>
      <c r="V16" s="1041"/>
      <c r="W16" s="1041"/>
    </row>
    <row r="17" spans="1:25" ht="12.75">
      <c r="A17" s="1072">
        <v>2.01</v>
      </c>
      <c r="B17" s="838" t="s">
        <v>981</v>
      </c>
      <c r="C17" s="1041">
        <v>8480000</v>
      </c>
      <c r="D17" s="1041">
        <v>10068982</v>
      </c>
      <c r="E17" s="1041"/>
      <c r="F17" s="1041"/>
      <c r="G17" s="1041">
        <f aca="true" t="shared" si="0" ref="G17:G80">ROUND(SUM(C17:F17)/2,0)</f>
        <v>9274491</v>
      </c>
      <c r="H17" s="1041"/>
      <c r="I17" s="1041">
        <v>8508648</v>
      </c>
      <c r="J17" s="1041">
        <v>689059.5</v>
      </c>
      <c r="K17" s="1041">
        <v>14044.5</v>
      </c>
      <c r="L17" s="1041">
        <v>62739</v>
      </c>
      <c r="M17" s="838">
        <v>0</v>
      </c>
      <c r="N17" s="1439"/>
      <c r="O17" s="838">
        <v>8480000</v>
      </c>
      <c r="P17" s="838">
        <v>0</v>
      </c>
      <c r="Q17" s="838">
        <v>0</v>
      </c>
      <c r="R17" s="1041">
        <v>0</v>
      </c>
      <c r="S17">
        <v>0</v>
      </c>
      <c r="U17" s="838">
        <v>8537296</v>
      </c>
      <c r="V17" s="838">
        <v>1378119</v>
      </c>
      <c r="W17" s="838">
        <v>28089</v>
      </c>
      <c r="X17" s="838">
        <v>125478</v>
      </c>
      <c r="Y17">
        <v>0</v>
      </c>
    </row>
    <row r="18" spans="1:25" ht="12.75">
      <c r="A18" s="1072">
        <f>A17+0.01</f>
        <v>2.0199999999999996</v>
      </c>
      <c r="B18" s="838" t="s">
        <v>982</v>
      </c>
      <c r="C18" s="1041">
        <v>46423461.589999996</v>
      </c>
      <c r="D18" s="1041">
        <v>50819811.15</v>
      </c>
      <c r="E18" s="1041"/>
      <c r="F18" s="1041"/>
      <c r="G18" s="1041">
        <f t="shared" si="0"/>
        <v>48621636</v>
      </c>
      <c r="H18" s="1041"/>
      <c r="I18" s="1041">
        <v>9981935.01</v>
      </c>
      <c r="J18" s="1041">
        <v>25375622.73</v>
      </c>
      <c r="K18" s="1041">
        <v>6759217.805000001</v>
      </c>
      <c r="L18" s="1041">
        <v>6504860.825</v>
      </c>
      <c r="M18" s="838">
        <v>0</v>
      </c>
      <c r="N18" s="1439"/>
      <c r="O18" s="838">
        <v>9509487.62</v>
      </c>
      <c r="P18" s="838">
        <v>24397836.35</v>
      </c>
      <c r="Q18" s="838">
        <v>6430573.9</v>
      </c>
      <c r="R18" s="1041">
        <v>6085563.720000001</v>
      </c>
      <c r="S18">
        <v>0</v>
      </c>
      <c r="U18" s="838">
        <v>10454382.4</v>
      </c>
      <c r="V18" s="838">
        <v>26353409.11</v>
      </c>
      <c r="W18" s="838">
        <v>7087861.710000001</v>
      </c>
      <c r="X18" s="838">
        <v>6924157.93</v>
      </c>
      <c r="Y18">
        <v>0</v>
      </c>
    </row>
    <row r="19" spans="1:25" ht="12.75">
      <c r="A19" s="1072">
        <f aca="true" t="shared" si="1" ref="A19:A82">A18+0.01</f>
        <v>2.0299999999999994</v>
      </c>
      <c r="B19" s="838" t="s">
        <v>983</v>
      </c>
      <c r="C19" s="1041">
        <v>0</v>
      </c>
      <c r="D19" s="1041">
        <v>0</v>
      </c>
      <c r="E19" s="1041"/>
      <c r="F19" s="1041"/>
      <c r="G19" s="1041">
        <f t="shared" si="0"/>
        <v>0</v>
      </c>
      <c r="H19" s="1041"/>
      <c r="I19" s="1041">
        <v>0</v>
      </c>
      <c r="J19" s="1041">
        <v>0</v>
      </c>
      <c r="K19" s="1041">
        <v>0</v>
      </c>
      <c r="L19" s="1041">
        <v>0</v>
      </c>
      <c r="M19" s="838">
        <v>0</v>
      </c>
      <c r="N19" s="1439"/>
      <c r="O19" s="838">
        <v>0</v>
      </c>
      <c r="P19" s="838">
        <v>0</v>
      </c>
      <c r="Q19" s="838">
        <v>0</v>
      </c>
      <c r="R19" s="1041">
        <v>0</v>
      </c>
      <c r="S19">
        <v>0</v>
      </c>
      <c r="U19" s="838">
        <v>0</v>
      </c>
      <c r="V19" s="838">
        <v>0</v>
      </c>
      <c r="W19" s="838">
        <v>0</v>
      </c>
      <c r="X19" s="838">
        <v>0</v>
      </c>
      <c r="Y19">
        <v>0</v>
      </c>
    </row>
    <row r="20" spans="1:25" ht="12.75">
      <c r="A20" s="1072">
        <f t="shared" si="1"/>
        <v>2.039999999999999</v>
      </c>
      <c r="B20" s="838" t="s">
        <v>984</v>
      </c>
      <c r="C20" s="1041">
        <v>1959</v>
      </c>
      <c r="D20" s="1041">
        <v>653</v>
      </c>
      <c r="E20" s="1041"/>
      <c r="F20" s="1041"/>
      <c r="G20" s="1041">
        <f t="shared" si="0"/>
        <v>1306</v>
      </c>
      <c r="H20" s="1041"/>
      <c r="I20" s="1041">
        <v>1306</v>
      </c>
      <c r="J20" s="1041">
        <v>0</v>
      </c>
      <c r="K20" s="1041">
        <v>0</v>
      </c>
      <c r="L20" s="1041">
        <v>0</v>
      </c>
      <c r="M20" s="838">
        <v>0</v>
      </c>
      <c r="N20" s="1439"/>
      <c r="O20" s="838">
        <v>1959</v>
      </c>
      <c r="P20" s="838">
        <v>0</v>
      </c>
      <c r="Q20" s="838">
        <v>0</v>
      </c>
      <c r="R20" s="1041">
        <v>0</v>
      </c>
      <c r="S20">
        <v>0</v>
      </c>
      <c r="U20" s="838">
        <v>653</v>
      </c>
      <c r="V20" s="838">
        <v>0</v>
      </c>
      <c r="W20" s="838">
        <v>0</v>
      </c>
      <c r="X20" s="838">
        <v>0</v>
      </c>
      <c r="Y20">
        <v>0</v>
      </c>
    </row>
    <row r="21" spans="1:25" ht="12.75">
      <c r="A21" s="1072">
        <f t="shared" si="1"/>
        <v>2.049999999999999</v>
      </c>
      <c r="B21" s="838" t="s">
        <v>985</v>
      </c>
      <c r="C21" s="1041">
        <v>0</v>
      </c>
      <c r="D21" s="1041">
        <v>0</v>
      </c>
      <c r="E21" s="1041"/>
      <c r="F21" s="1041"/>
      <c r="G21" s="1041">
        <f t="shared" si="0"/>
        <v>0</v>
      </c>
      <c r="H21" s="1041"/>
      <c r="I21" s="1041">
        <v>0</v>
      </c>
      <c r="J21" s="1041">
        <v>0</v>
      </c>
      <c r="K21" s="1041">
        <v>0</v>
      </c>
      <c r="L21" s="1041">
        <v>0</v>
      </c>
      <c r="M21" s="838">
        <v>0</v>
      </c>
      <c r="N21" s="1439"/>
      <c r="O21" s="838">
        <v>0</v>
      </c>
      <c r="P21" s="838">
        <v>0</v>
      </c>
      <c r="Q21" s="838">
        <v>0</v>
      </c>
      <c r="R21" s="1041">
        <v>0</v>
      </c>
      <c r="S21">
        <v>0</v>
      </c>
      <c r="U21" s="838">
        <v>0</v>
      </c>
      <c r="V21" s="838">
        <v>0</v>
      </c>
      <c r="W21" s="838">
        <v>0</v>
      </c>
      <c r="X21" s="838">
        <v>0</v>
      </c>
      <c r="Y21">
        <v>0</v>
      </c>
    </row>
    <row r="22" spans="1:25" ht="12.75">
      <c r="A22" s="1072">
        <f t="shared" si="1"/>
        <v>2.0599999999999987</v>
      </c>
      <c r="B22" s="838" t="s">
        <v>986</v>
      </c>
      <c r="C22" s="1041">
        <v>4854133.89</v>
      </c>
      <c r="D22" s="1041">
        <v>4998165.85</v>
      </c>
      <c r="E22" s="1041"/>
      <c r="F22" s="1041"/>
      <c r="G22" s="1041">
        <f t="shared" si="0"/>
        <v>4926150</v>
      </c>
      <c r="H22" s="1041"/>
      <c r="I22" s="1041">
        <v>0</v>
      </c>
      <c r="J22" s="1041">
        <v>0</v>
      </c>
      <c r="K22" s="1041">
        <v>1082957.275</v>
      </c>
      <c r="L22" s="1041">
        <v>3843192.5949999997</v>
      </c>
      <c r="M22" s="838">
        <v>0</v>
      </c>
      <c r="N22" s="1439"/>
      <c r="O22" s="838">
        <v>0</v>
      </c>
      <c r="P22" s="838">
        <v>0</v>
      </c>
      <c r="Q22" s="838">
        <v>1029408.85</v>
      </c>
      <c r="R22" s="1041">
        <v>3824725.04</v>
      </c>
      <c r="S22">
        <v>0</v>
      </c>
      <c r="U22" s="838">
        <v>0</v>
      </c>
      <c r="V22" s="838">
        <v>0</v>
      </c>
      <c r="W22" s="838">
        <v>1136505.7</v>
      </c>
      <c r="X22" s="838">
        <v>3861660.15</v>
      </c>
      <c r="Y22">
        <v>0</v>
      </c>
    </row>
    <row r="23" spans="1:25" ht="12.75">
      <c r="A23" s="1072">
        <f t="shared" si="1"/>
        <v>2.0699999999999985</v>
      </c>
      <c r="B23" s="838" t="s">
        <v>987</v>
      </c>
      <c r="C23" s="1041">
        <v>-0.89</v>
      </c>
      <c r="D23" s="1041">
        <v>-0.89</v>
      </c>
      <c r="E23" s="1041"/>
      <c r="F23" s="1041"/>
      <c r="G23" s="1041">
        <f t="shared" si="0"/>
        <v>-1</v>
      </c>
      <c r="H23" s="1041"/>
      <c r="I23" s="1041">
        <v>0</v>
      </c>
      <c r="J23" s="1041">
        <v>0</v>
      </c>
      <c r="K23" s="1041">
        <v>0</v>
      </c>
      <c r="L23" s="1041">
        <v>-0.89</v>
      </c>
      <c r="M23" s="838">
        <v>0</v>
      </c>
      <c r="N23" s="1439"/>
      <c r="O23" s="838">
        <v>0</v>
      </c>
      <c r="P23" s="838">
        <v>0</v>
      </c>
      <c r="Q23" s="838">
        <v>0</v>
      </c>
      <c r="R23" s="1041">
        <v>-0.89</v>
      </c>
      <c r="S23">
        <v>0</v>
      </c>
      <c r="U23" s="838">
        <v>0</v>
      </c>
      <c r="V23" s="838">
        <v>0</v>
      </c>
      <c r="W23" s="838">
        <v>0</v>
      </c>
      <c r="X23" s="838">
        <v>-0.89</v>
      </c>
      <c r="Y23">
        <v>0</v>
      </c>
    </row>
    <row r="24" spans="1:25" ht="12.75">
      <c r="A24" s="1072">
        <f t="shared" si="1"/>
        <v>2.0799999999999983</v>
      </c>
      <c r="B24" s="838" t="s">
        <v>988</v>
      </c>
      <c r="C24" s="1041">
        <v>2883612.73</v>
      </c>
      <c r="D24" s="1041">
        <v>2004172.62</v>
      </c>
      <c r="E24" s="1041"/>
      <c r="F24" s="1041"/>
      <c r="G24" s="1041">
        <f t="shared" si="0"/>
        <v>2443893</v>
      </c>
      <c r="H24" s="1041"/>
      <c r="I24" s="1041">
        <v>-77657.76000000001</v>
      </c>
      <c r="J24" s="1041">
        <v>0</v>
      </c>
      <c r="K24" s="1041">
        <v>862335.935</v>
      </c>
      <c r="L24" s="1041">
        <v>1659214.5</v>
      </c>
      <c r="M24" s="838">
        <v>0</v>
      </c>
      <c r="N24" s="1439"/>
      <c r="O24" s="838">
        <v>275766.47</v>
      </c>
      <c r="P24" s="838">
        <v>0</v>
      </c>
      <c r="Q24" s="838">
        <v>910902.03</v>
      </c>
      <c r="R24" s="1041">
        <v>1696944.23</v>
      </c>
      <c r="S24">
        <v>0</v>
      </c>
      <c r="U24" s="838">
        <v>-431081.99</v>
      </c>
      <c r="V24" s="838">
        <v>0</v>
      </c>
      <c r="W24" s="838">
        <v>813769.84</v>
      </c>
      <c r="X24" s="838">
        <v>1621484.77</v>
      </c>
      <c r="Y24">
        <v>0</v>
      </c>
    </row>
    <row r="25" spans="1:25" ht="12.75">
      <c r="A25" s="1072">
        <f t="shared" si="1"/>
        <v>2.089999999999998</v>
      </c>
      <c r="B25" s="838" t="s">
        <v>989</v>
      </c>
      <c r="C25" s="1041">
        <v>1919770.73</v>
      </c>
      <c r="D25" s="1041">
        <v>6661839.2700000005</v>
      </c>
      <c r="E25" s="1041"/>
      <c r="F25" s="1041"/>
      <c r="G25" s="1041">
        <f t="shared" si="0"/>
        <v>4290805</v>
      </c>
      <c r="H25" s="1041"/>
      <c r="I25" s="1041">
        <v>1913618.06</v>
      </c>
      <c r="J25" s="1041">
        <v>3291.325</v>
      </c>
      <c r="K25" s="1041">
        <v>2169529.925</v>
      </c>
      <c r="L25" s="1041">
        <v>204365.69</v>
      </c>
      <c r="M25" s="838">
        <v>0</v>
      </c>
      <c r="N25" s="1439"/>
      <c r="O25" s="838">
        <v>340789.54</v>
      </c>
      <c r="P25" s="838">
        <v>6582.65</v>
      </c>
      <c r="Q25" s="838">
        <v>1368032.85</v>
      </c>
      <c r="R25" s="1041">
        <v>204365.69</v>
      </c>
      <c r="S25">
        <v>0</v>
      </c>
      <c r="U25" s="838">
        <v>3486446.58</v>
      </c>
      <c r="V25" s="838">
        <v>0</v>
      </c>
      <c r="W25" s="838">
        <v>2971027</v>
      </c>
      <c r="X25" s="838">
        <v>204365.69</v>
      </c>
      <c r="Y25">
        <v>0</v>
      </c>
    </row>
    <row r="26" spans="1:25" ht="12.75">
      <c r="A26" s="1072">
        <f t="shared" si="1"/>
        <v>2.099999999999998</v>
      </c>
      <c r="B26" s="838" t="s">
        <v>990</v>
      </c>
      <c r="C26" s="1041">
        <v>-650000</v>
      </c>
      <c r="D26" s="1041">
        <v>-650000</v>
      </c>
      <c r="E26" s="1041"/>
      <c r="F26" s="1041"/>
      <c r="G26" s="1041">
        <f t="shared" si="0"/>
        <v>-650000</v>
      </c>
      <c r="H26" s="1041"/>
      <c r="I26" s="1041">
        <v>0</v>
      </c>
      <c r="J26" s="1041">
        <v>0</v>
      </c>
      <c r="K26" s="1041">
        <v>-650000</v>
      </c>
      <c r="L26" s="1041">
        <v>0</v>
      </c>
      <c r="M26" s="838">
        <v>0</v>
      </c>
      <c r="N26" s="1439"/>
      <c r="O26" s="838">
        <v>0</v>
      </c>
      <c r="P26" s="838">
        <v>0</v>
      </c>
      <c r="Q26" s="838">
        <v>-650000</v>
      </c>
      <c r="R26" s="1041">
        <v>0</v>
      </c>
      <c r="S26">
        <v>0</v>
      </c>
      <c r="U26" s="838">
        <v>0</v>
      </c>
      <c r="V26" s="838">
        <v>0</v>
      </c>
      <c r="W26" s="838">
        <v>-650000</v>
      </c>
      <c r="X26" s="838">
        <v>0</v>
      </c>
      <c r="Y26">
        <v>0</v>
      </c>
    </row>
    <row r="27" spans="1:25" ht="12.75">
      <c r="A27" s="1072">
        <f t="shared" si="1"/>
        <v>2.1099999999999977</v>
      </c>
      <c r="B27" s="838" t="s">
        <v>991</v>
      </c>
      <c r="C27" s="1041">
        <v>650001</v>
      </c>
      <c r="D27" s="1041">
        <v>650001</v>
      </c>
      <c r="E27" s="1041"/>
      <c r="F27" s="1041"/>
      <c r="G27" s="1041">
        <f t="shared" si="0"/>
        <v>650001</v>
      </c>
      <c r="H27" s="1041"/>
      <c r="I27" s="1041">
        <v>0</v>
      </c>
      <c r="J27" s="1041">
        <v>0</v>
      </c>
      <c r="K27" s="1041">
        <v>650001</v>
      </c>
      <c r="L27" s="1041">
        <v>0</v>
      </c>
      <c r="M27" s="838">
        <v>0</v>
      </c>
      <c r="N27" s="1439"/>
      <c r="O27" s="838">
        <v>0</v>
      </c>
      <c r="P27" s="838">
        <v>0</v>
      </c>
      <c r="Q27" s="838">
        <v>650001</v>
      </c>
      <c r="R27" s="1041">
        <v>0</v>
      </c>
      <c r="S27">
        <v>0</v>
      </c>
      <c r="U27" s="838">
        <v>0</v>
      </c>
      <c r="V27" s="838">
        <v>0</v>
      </c>
      <c r="W27" s="838">
        <v>650001</v>
      </c>
      <c r="X27" s="838">
        <v>0</v>
      </c>
      <c r="Y27">
        <v>0</v>
      </c>
    </row>
    <row r="28" spans="1:25" ht="12.75">
      <c r="A28" s="1072">
        <f t="shared" si="1"/>
        <v>2.1199999999999974</v>
      </c>
      <c r="B28" s="838" t="s">
        <v>992</v>
      </c>
      <c r="C28" s="1041">
        <v>7477020.21</v>
      </c>
      <c r="D28" s="1041">
        <v>6216737.61</v>
      </c>
      <c r="E28" s="1041"/>
      <c r="F28" s="1041"/>
      <c r="G28" s="1041">
        <f t="shared" si="0"/>
        <v>6846879</v>
      </c>
      <c r="H28" s="1041"/>
      <c r="I28" s="1041">
        <v>6846878.91</v>
      </c>
      <c r="J28" s="1041">
        <v>0</v>
      </c>
      <c r="K28" s="1041">
        <v>0</v>
      </c>
      <c r="L28" s="1041">
        <v>0</v>
      </c>
      <c r="M28" s="838">
        <v>0</v>
      </c>
      <c r="N28" s="1439"/>
      <c r="O28" s="838">
        <v>7477020.21</v>
      </c>
      <c r="P28" s="838">
        <v>0</v>
      </c>
      <c r="Q28" s="838">
        <v>0</v>
      </c>
      <c r="R28" s="1041">
        <v>0</v>
      </c>
      <c r="S28">
        <v>0</v>
      </c>
      <c r="U28" s="838">
        <v>6216737.61</v>
      </c>
      <c r="V28" s="838">
        <v>0</v>
      </c>
      <c r="W28" s="838">
        <v>0</v>
      </c>
      <c r="X28" s="838">
        <v>0</v>
      </c>
      <c r="Y28">
        <v>0</v>
      </c>
    </row>
    <row r="29" spans="1:25" ht="12.75">
      <c r="A29" s="1072">
        <f t="shared" si="1"/>
        <v>2.1299999999999972</v>
      </c>
      <c r="B29" s="838" t="s">
        <v>993</v>
      </c>
      <c r="C29" s="1041">
        <v>-502318.6</v>
      </c>
      <c r="D29" s="1041">
        <v>282384.55</v>
      </c>
      <c r="E29" s="1041"/>
      <c r="F29" s="1041"/>
      <c r="G29" s="1041">
        <f t="shared" si="0"/>
        <v>-109967</v>
      </c>
      <c r="H29" s="1041"/>
      <c r="I29" s="1041">
        <v>-109967.025</v>
      </c>
      <c r="J29" s="1041">
        <v>0</v>
      </c>
      <c r="K29" s="1041">
        <v>0</v>
      </c>
      <c r="L29" s="1041">
        <v>0</v>
      </c>
      <c r="M29" s="838">
        <v>0</v>
      </c>
      <c r="N29" s="1439"/>
      <c r="O29" s="838">
        <v>-502318.6</v>
      </c>
      <c r="P29" s="838">
        <v>0</v>
      </c>
      <c r="Q29" s="838">
        <v>0</v>
      </c>
      <c r="R29" s="1041">
        <v>0</v>
      </c>
      <c r="S29">
        <v>0</v>
      </c>
      <c r="U29" s="838">
        <v>282384.55</v>
      </c>
      <c r="V29" s="838">
        <v>0</v>
      </c>
      <c r="W29" s="838">
        <v>0</v>
      </c>
      <c r="X29" s="838">
        <v>0</v>
      </c>
      <c r="Y29">
        <v>0</v>
      </c>
    </row>
    <row r="30" spans="1:25" ht="12.75">
      <c r="A30" s="1072">
        <f t="shared" si="1"/>
        <v>2.139999999999997</v>
      </c>
      <c r="B30" s="838" t="s">
        <v>994</v>
      </c>
      <c r="C30" s="1041">
        <v>139580.61000000002</v>
      </c>
      <c r="D30" s="1041">
        <v>67518.70000000001</v>
      </c>
      <c r="E30" s="1041"/>
      <c r="F30" s="1041"/>
      <c r="G30" s="1041">
        <f t="shared" si="0"/>
        <v>103550</v>
      </c>
      <c r="H30" s="1041"/>
      <c r="I30" s="1041">
        <v>26184.165</v>
      </c>
      <c r="J30" s="1041">
        <v>7672.845</v>
      </c>
      <c r="K30" s="1041">
        <v>6460.545</v>
      </c>
      <c r="L30" s="1041">
        <v>63232.100000000006</v>
      </c>
      <c r="M30" s="838">
        <v>0</v>
      </c>
      <c r="N30" s="1439"/>
      <c r="O30" s="838">
        <v>16336.57</v>
      </c>
      <c r="P30" s="838">
        <v>15345.75</v>
      </c>
      <c r="Q30" s="838">
        <v>6267.58</v>
      </c>
      <c r="R30" s="1041">
        <v>101630.71</v>
      </c>
      <c r="S30">
        <v>0</v>
      </c>
      <c r="U30" s="838">
        <v>36031.76</v>
      </c>
      <c r="V30" s="838">
        <v>-0.06</v>
      </c>
      <c r="W30" s="838">
        <v>6653.51</v>
      </c>
      <c r="X30" s="838">
        <v>24833.49</v>
      </c>
      <c r="Y30">
        <v>0</v>
      </c>
    </row>
    <row r="31" spans="1:25" ht="12.75">
      <c r="A31" s="1072">
        <f t="shared" si="1"/>
        <v>2.149999999999997</v>
      </c>
      <c r="B31" s="838" t="s">
        <v>995</v>
      </c>
      <c r="C31" s="1041">
        <v>0</v>
      </c>
      <c r="D31" s="1041">
        <v>0</v>
      </c>
      <c r="E31" s="1041"/>
      <c r="F31" s="1041"/>
      <c r="G31" s="1041">
        <f t="shared" si="0"/>
        <v>0</v>
      </c>
      <c r="H31" s="1041"/>
      <c r="I31" s="1041">
        <v>0</v>
      </c>
      <c r="J31" s="1041">
        <v>0</v>
      </c>
      <c r="K31" s="1041">
        <v>0</v>
      </c>
      <c r="L31" s="1041">
        <v>0</v>
      </c>
      <c r="M31" s="838">
        <v>0</v>
      </c>
      <c r="N31" s="1439"/>
      <c r="O31" s="838">
        <v>0</v>
      </c>
      <c r="P31" s="838">
        <v>0</v>
      </c>
      <c r="Q31" s="838">
        <v>0</v>
      </c>
      <c r="R31" s="1041">
        <v>0</v>
      </c>
      <c r="S31">
        <v>0</v>
      </c>
      <c r="U31" s="838">
        <v>0</v>
      </c>
      <c r="V31" s="838">
        <v>0</v>
      </c>
      <c r="W31" s="838">
        <v>0</v>
      </c>
      <c r="X31" s="838">
        <v>0</v>
      </c>
      <c r="Y31">
        <v>0</v>
      </c>
    </row>
    <row r="32" spans="1:25" ht="12.75">
      <c r="A32" s="1072">
        <f t="shared" si="1"/>
        <v>2.1599999999999966</v>
      </c>
      <c r="B32" s="838" t="s">
        <v>996</v>
      </c>
      <c r="C32" s="1041">
        <v>-31918340.13</v>
      </c>
      <c r="D32" s="1041">
        <v>-31392672.36</v>
      </c>
      <c r="E32" s="1041"/>
      <c r="F32" s="1041"/>
      <c r="G32" s="1041">
        <f t="shared" si="0"/>
        <v>-31655506</v>
      </c>
      <c r="H32" s="1041"/>
      <c r="I32" s="1041">
        <v>-6788433.835</v>
      </c>
      <c r="J32" s="1041">
        <v>-9147340.765</v>
      </c>
      <c r="K32" s="1041">
        <v>-1712353.7349999999</v>
      </c>
      <c r="L32" s="1041">
        <v>-14007377.91</v>
      </c>
      <c r="M32" s="838">
        <v>0</v>
      </c>
      <c r="N32" s="1439"/>
      <c r="O32" s="838">
        <v>-6943443.07</v>
      </c>
      <c r="P32" s="838">
        <v>-9161861.53</v>
      </c>
      <c r="Q32" s="838">
        <v>-1773822.08</v>
      </c>
      <c r="R32" s="1041">
        <v>-14039213.45</v>
      </c>
      <c r="S32">
        <v>0</v>
      </c>
      <c r="U32" s="838">
        <v>-6633424.6</v>
      </c>
      <c r="V32" s="838">
        <v>-9132820</v>
      </c>
      <c r="W32" s="838">
        <v>-1650885.39</v>
      </c>
      <c r="X32" s="838">
        <v>-13975542.37</v>
      </c>
      <c r="Y32">
        <v>0</v>
      </c>
    </row>
    <row r="33" spans="1:25" ht="12.75">
      <c r="A33" s="1072">
        <f t="shared" si="1"/>
        <v>2.1699999999999964</v>
      </c>
      <c r="B33" s="838" t="s">
        <v>997</v>
      </c>
      <c r="C33" s="1041">
        <v>44464575.400000006</v>
      </c>
      <c r="D33" s="1041">
        <v>31767014.3</v>
      </c>
      <c r="E33" s="1041"/>
      <c r="F33" s="1041"/>
      <c r="G33" s="1041">
        <f t="shared" si="0"/>
        <v>38115795</v>
      </c>
      <c r="H33" s="1041"/>
      <c r="I33" s="1041">
        <v>5452449.975</v>
      </c>
      <c r="J33" s="1041">
        <v>11631093.775</v>
      </c>
      <c r="K33" s="1041">
        <v>3717814.975</v>
      </c>
      <c r="L33" s="1041">
        <v>17314436.125</v>
      </c>
      <c r="M33" s="838">
        <v>0</v>
      </c>
      <c r="N33" s="1439"/>
      <c r="O33" s="838">
        <v>7669230.8</v>
      </c>
      <c r="P33" s="838">
        <v>13526076.55</v>
      </c>
      <c r="Q33" s="838">
        <v>4137241.5</v>
      </c>
      <c r="R33" s="1041">
        <v>19132026.55</v>
      </c>
      <c r="S33">
        <v>0</v>
      </c>
      <c r="U33" s="838">
        <v>3235669.15</v>
      </c>
      <c r="V33" s="838">
        <v>9736111</v>
      </c>
      <c r="W33" s="838">
        <v>3298388.45</v>
      </c>
      <c r="X33" s="838">
        <v>15496845.7</v>
      </c>
      <c r="Y33">
        <v>0</v>
      </c>
    </row>
    <row r="34" spans="1:25" ht="12.75">
      <c r="A34" s="1072">
        <f t="shared" si="1"/>
        <v>2.179999999999996</v>
      </c>
      <c r="B34" s="838" t="s">
        <v>998</v>
      </c>
      <c r="C34" s="1041">
        <v>-66193.18</v>
      </c>
      <c r="D34" s="1041">
        <v>-14362.549999999988</v>
      </c>
      <c r="E34" s="1041"/>
      <c r="F34" s="1041"/>
      <c r="G34" s="1041">
        <f t="shared" si="0"/>
        <v>-40278</v>
      </c>
      <c r="H34" s="1041"/>
      <c r="I34" s="1041">
        <v>7256.75</v>
      </c>
      <c r="J34" s="1041">
        <v>21944.07</v>
      </c>
      <c r="K34" s="1041">
        <v>21223.795</v>
      </c>
      <c r="L34" s="1041">
        <v>-90702.48</v>
      </c>
      <c r="M34" s="838">
        <v>0</v>
      </c>
      <c r="N34" s="1439"/>
      <c r="O34" s="838">
        <v>6620.98</v>
      </c>
      <c r="P34" s="838">
        <v>817</v>
      </c>
      <c r="Q34" s="838">
        <v>22010.52</v>
      </c>
      <c r="R34" s="1041">
        <v>-95641.68</v>
      </c>
      <c r="S34">
        <v>0</v>
      </c>
      <c r="U34" s="838">
        <v>7892.52</v>
      </c>
      <c r="V34" s="838">
        <v>43071.14</v>
      </c>
      <c r="W34" s="838">
        <v>20437.07</v>
      </c>
      <c r="X34" s="838">
        <v>-85763.28</v>
      </c>
      <c r="Y34">
        <v>0</v>
      </c>
    </row>
    <row r="35" spans="1:25" ht="12.75">
      <c r="A35" s="1072">
        <f t="shared" si="1"/>
        <v>2.189999999999996</v>
      </c>
      <c r="B35" s="838" t="s">
        <v>999</v>
      </c>
      <c r="C35" s="1041">
        <v>403094.30000000005</v>
      </c>
      <c r="D35" s="1041">
        <v>361364.5</v>
      </c>
      <c r="E35" s="1041"/>
      <c r="F35" s="1041"/>
      <c r="G35" s="1041">
        <f t="shared" si="0"/>
        <v>382229</v>
      </c>
      <c r="H35" s="1041"/>
      <c r="I35" s="1041">
        <v>-6134.625</v>
      </c>
      <c r="J35" s="1041">
        <v>178065.65000000002</v>
      </c>
      <c r="K35" s="1041">
        <v>28705.6</v>
      </c>
      <c r="L35" s="1041">
        <v>181592.77500000002</v>
      </c>
      <c r="M35" s="838">
        <v>0</v>
      </c>
      <c r="N35" s="1439"/>
      <c r="O35" s="838">
        <v>-6676.6</v>
      </c>
      <c r="P35" s="838">
        <v>174862.45</v>
      </c>
      <c r="Q35" s="838">
        <v>28248.85</v>
      </c>
      <c r="R35" s="1041">
        <v>206659.6</v>
      </c>
      <c r="S35">
        <v>0</v>
      </c>
      <c r="U35" s="838">
        <v>-5592.65</v>
      </c>
      <c r="V35" s="838">
        <v>181268.85</v>
      </c>
      <c r="W35" s="838">
        <v>29162.35</v>
      </c>
      <c r="X35" s="838">
        <v>156525.95</v>
      </c>
      <c r="Y35">
        <v>0</v>
      </c>
    </row>
    <row r="36" spans="1:25" ht="12.75">
      <c r="A36" s="1072">
        <f t="shared" si="1"/>
        <v>2.1999999999999957</v>
      </c>
      <c r="B36" s="838" t="s">
        <v>1000</v>
      </c>
      <c r="C36" s="1041">
        <v>460764.35</v>
      </c>
      <c r="D36" s="1041">
        <v>480337.30000000005</v>
      </c>
      <c r="E36" s="1041"/>
      <c r="F36" s="1041"/>
      <c r="G36" s="1041">
        <f t="shared" si="0"/>
        <v>470551</v>
      </c>
      <c r="H36" s="1041"/>
      <c r="I36" s="1041">
        <v>2</v>
      </c>
      <c r="J36" s="1041">
        <v>349686.515</v>
      </c>
      <c r="K36" s="1041">
        <v>0</v>
      </c>
      <c r="L36" s="1041">
        <v>120862.31</v>
      </c>
      <c r="M36" s="838">
        <v>0</v>
      </c>
      <c r="N36" s="1439"/>
      <c r="O36" s="838">
        <v>2</v>
      </c>
      <c r="P36" s="838">
        <v>285024.01</v>
      </c>
      <c r="Q36" s="838">
        <v>0</v>
      </c>
      <c r="R36" s="1041">
        <v>175738.34</v>
      </c>
      <c r="S36">
        <v>0</v>
      </c>
      <c r="U36" s="838">
        <v>2</v>
      </c>
      <c r="V36" s="838">
        <v>414349.02</v>
      </c>
      <c r="W36" s="838">
        <v>0</v>
      </c>
      <c r="X36" s="838">
        <v>65986.28</v>
      </c>
      <c r="Y36">
        <v>0</v>
      </c>
    </row>
    <row r="37" spans="1:25" ht="12.75">
      <c r="A37" s="1072">
        <f t="shared" si="1"/>
        <v>2.2099999999999955</v>
      </c>
      <c r="B37" s="838" t="s">
        <v>1001</v>
      </c>
      <c r="C37" s="1041">
        <v>0</v>
      </c>
      <c r="D37" s="1041">
        <v>0</v>
      </c>
      <c r="E37" s="1041"/>
      <c r="F37" s="1041"/>
      <c r="G37" s="1041">
        <f t="shared" si="0"/>
        <v>0</v>
      </c>
      <c r="H37" s="1041"/>
      <c r="I37" s="1041">
        <v>0</v>
      </c>
      <c r="J37" s="1041">
        <v>0</v>
      </c>
      <c r="K37" s="1041">
        <v>0</v>
      </c>
      <c r="L37" s="1041">
        <v>0</v>
      </c>
      <c r="M37" s="838">
        <v>0</v>
      </c>
      <c r="N37" s="1439"/>
      <c r="O37" s="838">
        <v>0</v>
      </c>
      <c r="P37" s="838">
        <v>0</v>
      </c>
      <c r="Q37" s="838">
        <v>0</v>
      </c>
      <c r="R37" s="1041">
        <v>0</v>
      </c>
      <c r="S37">
        <v>0</v>
      </c>
      <c r="U37" s="838">
        <v>0</v>
      </c>
      <c r="V37" s="838">
        <v>0</v>
      </c>
      <c r="W37" s="838">
        <v>0</v>
      </c>
      <c r="X37" s="838">
        <v>0</v>
      </c>
      <c r="Y37">
        <v>0</v>
      </c>
    </row>
    <row r="38" spans="1:25" ht="12.75">
      <c r="A38" s="1072">
        <f t="shared" si="1"/>
        <v>2.2199999999999953</v>
      </c>
      <c r="B38" s="838" t="s">
        <v>1002</v>
      </c>
      <c r="C38" s="1041">
        <v>0</v>
      </c>
      <c r="D38" s="1041">
        <v>0</v>
      </c>
      <c r="E38" s="1041"/>
      <c r="F38" s="1041"/>
      <c r="G38" s="1041">
        <f t="shared" si="0"/>
        <v>0</v>
      </c>
      <c r="H38" s="1041"/>
      <c r="I38" s="1041">
        <v>0</v>
      </c>
      <c r="J38" s="1041">
        <v>0</v>
      </c>
      <c r="K38" s="1041">
        <v>0</v>
      </c>
      <c r="L38" s="1041">
        <v>0</v>
      </c>
      <c r="M38" s="838">
        <v>0</v>
      </c>
      <c r="N38" s="1439"/>
      <c r="O38" s="838">
        <v>0</v>
      </c>
      <c r="P38" s="838">
        <v>0</v>
      </c>
      <c r="Q38" s="838">
        <v>0</v>
      </c>
      <c r="R38" s="1041">
        <v>0</v>
      </c>
      <c r="S38">
        <v>0</v>
      </c>
      <c r="U38" s="838">
        <v>0</v>
      </c>
      <c r="V38" s="838">
        <v>0</v>
      </c>
      <c r="W38" s="838">
        <v>0</v>
      </c>
      <c r="X38" s="838">
        <v>0</v>
      </c>
      <c r="Y38">
        <v>0</v>
      </c>
    </row>
    <row r="39" spans="1:25" ht="12.75">
      <c r="A39" s="1072">
        <f t="shared" si="1"/>
        <v>2.229999999999995</v>
      </c>
      <c r="B39" s="838" t="s">
        <v>1003</v>
      </c>
      <c r="C39" s="1041">
        <v>2922200.32</v>
      </c>
      <c r="D39" s="1041">
        <v>2458056.49</v>
      </c>
      <c r="E39" s="1041"/>
      <c r="F39" s="1041"/>
      <c r="G39" s="1041">
        <f t="shared" si="0"/>
        <v>2690128</v>
      </c>
      <c r="H39" s="1041"/>
      <c r="I39" s="1041">
        <v>73419.485</v>
      </c>
      <c r="J39" s="1041">
        <v>1954694.7</v>
      </c>
      <c r="K39" s="1041">
        <v>4081.365</v>
      </c>
      <c r="L39" s="1041">
        <v>657932.855</v>
      </c>
      <c r="M39" s="838">
        <v>0</v>
      </c>
      <c r="N39" s="1439"/>
      <c r="O39" s="838">
        <v>64465.11</v>
      </c>
      <c r="P39" s="838">
        <v>2060217.22</v>
      </c>
      <c r="Q39" s="838">
        <v>2464.36</v>
      </c>
      <c r="R39" s="1041">
        <v>795053.63</v>
      </c>
      <c r="S39">
        <v>0</v>
      </c>
      <c r="U39" s="838">
        <v>82373.86</v>
      </c>
      <c r="V39" s="838">
        <v>1849172.18</v>
      </c>
      <c r="W39" s="838">
        <v>5698.37</v>
      </c>
      <c r="X39" s="838">
        <v>520812.08</v>
      </c>
      <c r="Y39">
        <v>0</v>
      </c>
    </row>
    <row r="40" spans="1:25" ht="12.75">
      <c r="A40" s="1072">
        <f t="shared" si="1"/>
        <v>2.239999999999995</v>
      </c>
      <c r="B40" s="838" t="s">
        <v>1004</v>
      </c>
      <c r="C40" s="1041">
        <v>0</v>
      </c>
      <c r="D40" s="1041">
        <v>433677.02</v>
      </c>
      <c r="E40" s="1041"/>
      <c r="F40" s="1041"/>
      <c r="G40" s="1041">
        <f t="shared" si="0"/>
        <v>216839</v>
      </c>
      <c r="H40" s="1041"/>
      <c r="I40" s="1041">
        <v>0</v>
      </c>
      <c r="J40" s="1041">
        <v>155539.435</v>
      </c>
      <c r="K40" s="1041">
        <v>0</v>
      </c>
      <c r="L40" s="1041">
        <v>61299.075</v>
      </c>
      <c r="M40" s="838">
        <v>0</v>
      </c>
      <c r="N40" s="1439"/>
      <c r="O40" s="838">
        <v>0</v>
      </c>
      <c r="P40" s="838">
        <v>0</v>
      </c>
      <c r="Q40" s="838">
        <v>0</v>
      </c>
      <c r="R40" s="1041">
        <v>0</v>
      </c>
      <c r="S40">
        <v>0</v>
      </c>
      <c r="U40" s="838">
        <v>0</v>
      </c>
      <c r="V40" s="838">
        <v>311078.87</v>
      </c>
      <c r="W40" s="838">
        <v>0</v>
      </c>
      <c r="X40" s="838">
        <v>122598.15</v>
      </c>
      <c r="Y40">
        <v>0</v>
      </c>
    </row>
    <row r="41" spans="1:25" ht="12.75">
      <c r="A41" s="1072">
        <f t="shared" si="1"/>
        <v>2.2499999999999947</v>
      </c>
      <c r="B41" s="838" t="s">
        <v>1005</v>
      </c>
      <c r="C41" s="1041">
        <v>0</v>
      </c>
      <c r="D41" s="1041">
        <v>0</v>
      </c>
      <c r="E41" s="1041"/>
      <c r="F41" s="1041"/>
      <c r="G41" s="1041">
        <f t="shared" si="0"/>
        <v>0</v>
      </c>
      <c r="H41" s="1041"/>
      <c r="I41" s="1041">
        <v>0</v>
      </c>
      <c r="J41" s="1041">
        <v>0</v>
      </c>
      <c r="K41" s="1041">
        <v>0</v>
      </c>
      <c r="L41" s="1041">
        <v>0</v>
      </c>
      <c r="M41" s="838">
        <v>0</v>
      </c>
      <c r="N41" s="1439"/>
      <c r="O41" s="838">
        <v>0</v>
      </c>
      <c r="P41" s="838">
        <v>0</v>
      </c>
      <c r="Q41" s="838">
        <v>0</v>
      </c>
      <c r="R41" s="1041">
        <v>0</v>
      </c>
      <c r="S41">
        <v>0</v>
      </c>
      <c r="U41" s="838">
        <v>0</v>
      </c>
      <c r="V41" s="838">
        <v>0</v>
      </c>
      <c r="W41" s="838">
        <v>0</v>
      </c>
      <c r="X41" s="838">
        <v>0</v>
      </c>
      <c r="Y41">
        <v>0</v>
      </c>
    </row>
    <row r="42" spans="1:25" ht="12.75">
      <c r="A42" s="1072">
        <f t="shared" si="1"/>
        <v>2.2599999999999945</v>
      </c>
      <c r="B42" s="838" t="s">
        <v>1006</v>
      </c>
      <c r="C42" s="1041">
        <v>70000</v>
      </c>
      <c r="D42" s="1041">
        <v>0</v>
      </c>
      <c r="E42" s="1041"/>
      <c r="F42" s="1041"/>
      <c r="G42" s="1041">
        <f t="shared" si="0"/>
        <v>35000</v>
      </c>
      <c r="H42" s="1041"/>
      <c r="I42" s="1041">
        <v>0</v>
      </c>
      <c r="J42" s="1041">
        <v>35000</v>
      </c>
      <c r="K42" s="1041">
        <v>0</v>
      </c>
      <c r="L42" s="1041">
        <v>0</v>
      </c>
      <c r="M42" s="838">
        <v>0</v>
      </c>
      <c r="N42" s="1439"/>
      <c r="O42" s="838">
        <v>0</v>
      </c>
      <c r="P42" s="838">
        <v>70000</v>
      </c>
      <c r="Q42" s="838">
        <v>0</v>
      </c>
      <c r="R42" s="1041">
        <v>0</v>
      </c>
      <c r="S42">
        <v>0</v>
      </c>
      <c r="U42" s="838">
        <v>0</v>
      </c>
      <c r="V42" s="838">
        <v>0</v>
      </c>
      <c r="W42" s="838">
        <v>0</v>
      </c>
      <c r="X42" s="838">
        <v>0</v>
      </c>
      <c r="Y42">
        <v>0</v>
      </c>
    </row>
    <row r="43" spans="1:25" ht="12.75">
      <c r="A43" s="1072">
        <f t="shared" si="1"/>
        <v>2.2699999999999942</v>
      </c>
      <c r="B43" s="838" t="s">
        <v>1007</v>
      </c>
      <c r="C43" s="1041">
        <v>146499.45</v>
      </c>
      <c r="D43" s="1041">
        <v>333326.94</v>
      </c>
      <c r="E43" s="1041"/>
      <c r="F43" s="1041"/>
      <c r="G43" s="1041">
        <f t="shared" si="0"/>
        <v>239913</v>
      </c>
      <c r="H43" s="1041"/>
      <c r="I43" s="1041">
        <v>0</v>
      </c>
      <c r="J43" s="1041">
        <v>239913.195</v>
      </c>
      <c r="K43" s="1041">
        <v>0</v>
      </c>
      <c r="L43" s="1041">
        <v>0</v>
      </c>
      <c r="M43" s="838">
        <v>0</v>
      </c>
      <c r="N43" s="1439"/>
      <c r="O43" s="838">
        <v>0</v>
      </c>
      <c r="P43" s="838">
        <v>146499.45</v>
      </c>
      <c r="Q43" s="838">
        <v>0</v>
      </c>
      <c r="R43" s="1041">
        <v>0</v>
      </c>
      <c r="S43">
        <v>0</v>
      </c>
      <c r="U43" s="838">
        <v>0</v>
      </c>
      <c r="V43" s="838">
        <v>333326.94</v>
      </c>
      <c r="W43" s="838">
        <v>0</v>
      </c>
      <c r="X43" s="838">
        <v>0</v>
      </c>
      <c r="Y43">
        <v>0</v>
      </c>
    </row>
    <row r="44" spans="1:25" ht="12.75">
      <c r="A44" s="1072">
        <f t="shared" si="1"/>
        <v>2.279999999999994</v>
      </c>
      <c r="B44" s="838" t="s">
        <v>1008</v>
      </c>
      <c r="C44" s="1041">
        <v>2917.87</v>
      </c>
      <c r="D44" s="1041">
        <v>72168.39</v>
      </c>
      <c r="E44" s="1041"/>
      <c r="F44" s="1041"/>
      <c r="G44" s="1041">
        <f t="shared" si="0"/>
        <v>37543</v>
      </c>
      <c r="H44" s="1041"/>
      <c r="I44" s="1041">
        <v>24073.835000000003</v>
      </c>
      <c r="J44" s="1041">
        <v>0</v>
      </c>
      <c r="K44" s="1041">
        <v>0</v>
      </c>
      <c r="L44" s="1041">
        <v>13469.295</v>
      </c>
      <c r="M44" s="838">
        <v>0</v>
      </c>
      <c r="N44" s="1439"/>
      <c r="O44" s="838">
        <v>0.62</v>
      </c>
      <c r="P44" s="838">
        <v>0</v>
      </c>
      <c r="Q44" s="838">
        <v>0</v>
      </c>
      <c r="R44" s="1041">
        <v>2917.25</v>
      </c>
      <c r="S44">
        <v>0</v>
      </c>
      <c r="U44" s="838">
        <v>48147.05</v>
      </c>
      <c r="V44" s="838">
        <v>0</v>
      </c>
      <c r="W44" s="838">
        <v>0</v>
      </c>
      <c r="X44" s="838">
        <v>24021.34</v>
      </c>
      <c r="Y44">
        <v>0</v>
      </c>
    </row>
    <row r="45" spans="1:25" ht="12.75">
      <c r="A45" s="1072">
        <f t="shared" si="1"/>
        <v>2.289999999999994</v>
      </c>
      <c r="B45" s="838" t="s">
        <v>1009</v>
      </c>
      <c r="C45" s="1041">
        <v>0</v>
      </c>
      <c r="D45" s="1041">
        <v>0</v>
      </c>
      <c r="E45" s="1041"/>
      <c r="F45" s="1041"/>
      <c r="G45" s="1041">
        <f t="shared" si="0"/>
        <v>0</v>
      </c>
      <c r="H45" s="1041"/>
      <c r="I45" s="1041">
        <v>0</v>
      </c>
      <c r="J45" s="1041">
        <v>0</v>
      </c>
      <c r="K45" s="1041">
        <v>0</v>
      </c>
      <c r="L45" s="1041">
        <v>0</v>
      </c>
      <c r="M45" s="838">
        <v>0</v>
      </c>
      <c r="N45" s="1439"/>
      <c r="O45" s="838">
        <v>0</v>
      </c>
      <c r="P45" s="838">
        <v>0</v>
      </c>
      <c r="Q45" s="838">
        <v>0</v>
      </c>
      <c r="R45" s="1041">
        <v>0</v>
      </c>
      <c r="S45">
        <v>0</v>
      </c>
      <c r="U45" s="838">
        <v>0</v>
      </c>
      <c r="V45" s="838">
        <v>0</v>
      </c>
      <c r="W45" s="838">
        <v>0</v>
      </c>
      <c r="X45" s="838">
        <v>0</v>
      </c>
      <c r="Y45">
        <v>0</v>
      </c>
    </row>
    <row r="46" spans="1:25" ht="12.75">
      <c r="A46" s="1072">
        <f t="shared" si="1"/>
        <v>2.2999999999999936</v>
      </c>
      <c r="B46" s="838" t="s">
        <v>1010</v>
      </c>
      <c r="C46" s="1041">
        <v>1449.35</v>
      </c>
      <c r="D46" s="1041">
        <v>1066.45</v>
      </c>
      <c r="E46" s="1041"/>
      <c r="F46" s="1041"/>
      <c r="G46" s="1041">
        <f t="shared" si="0"/>
        <v>1258</v>
      </c>
      <c r="H46" s="1041"/>
      <c r="I46" s="1041">
        <v>1257.9</v>
      </c>
      <c r="J46" s="1041">
        <v>0</v>
      </c>
      <c r="K46" s="1041">
        <v>0</v>
      </c>
      <c r="L46" s="1041">
        <v>0</v>
      </c>
      <c r="M46" s="838">
        <v>0</v>
      </c>
      <c r="N46" s="1439"/>
      <c r="O46" s="838">
        <v>1449.35</v>
      </c>
      <c r="P46" s="838">
        <v>0</v>
      </c>
      <c r="Q46" s="838">
        <v>0</v>
      </c>
      <c r="R46" s="1041">
        <v>0</v>
      </c>
      <c r="S46">
        <v>0</v>
      </c>
      <c r="U46" s="838">
        <v>1066.45</v>
      </c>
      <c r="V46" s="838">
        <v>0</v>
      </c>
      <c r="W46" s="838">
        <v>0</v>
      </c>
      <c r="X46" s="838">
        <v>0</v>
      </c>
      <c r="Y46">
        <v>0</v>
      </c>
    </row>
    <row r="47" spans="1:25" ht="12.75">
      <c r="A47" s="1072">
        <f t="shared" si="1"/>
        <v>2.3099999999999934</v>
      </c>
      <c r="B47" s="838" t="s">
        <v>1011</v>
      </c>
      <c r="C47" s="1041">
        <v>-4.2</v>
      </c>
      <c r="D47" s="1041">
        <v>-0.7</v>
      </c>
      <c r="E47" s="1041"/>
      <c r="F47" s="1041"/>
      <c r="G47" s="1041">
        <f t="shared" si="0"/>
        <v>-2</v>
      </c>
      <c r="H47" s="1041"/>
      <c r="I47" s="1041">
        <v>-2.45</v>
      </c>
      <c r="J47" s="1041">
        <v>0</v>
      </c>
      <c r="K47" s="1041">
        <v>0</v>
      </c>
      <c r="L47" s="1041">
        <v>0</v>
      </c>
      <c r="M47" s="838">
        <v>0</v>
      </c>
      <c r="N47" s="1439"/>
      <c r="O47" s="838">
        <v>-4.2</v>
      </c>
      <c r="P47" s="838">
        <v>0</v>
      </c>
      <c r="Q47" s="838">
        <v>0</v>
      </c>
      <c r="R47" s="1041">
        <v>0</v>
      </c>
      <c r="S47">
        <v>0</v>
      </c>
      <c r="U47" s="838">
        <v>-0.7</v>
      </c>
      <c r="V47" s="838">
        <v>0</v>
      </c>
      <c r="W47" s="838">
        <v>0</v>
      </c>
      <c r="X47" s="838">
        <v>0</v>
      </c>
      <c r="Y47">
        <v>0</v>
      </c>
    </row>
    <row r="48" spans="1:25" ht="12.75">
      <c r="A48" s="1072">
        <f t="shared" si="1"/>
        <v>2.319999999999993</v>
      </c>
      <c r="B48" s="838" t="s">
        <v>1012</v>
      </c>
      <c r="C48" s="1041">
        <v>0</v>
      </c>
      <c r="D48" s="1041">
        <v>0</v>
      </c>
      <c r="E48" s="1041"/>
      <c r="F48" s="1041"/>
      <c r="G48" s="1041">
        <f t="shared" si="0"/>
        <v>0</v>
      </c>
      <c r="H48" s="1041"/>
      <c r="I48" s="1041">
        <v>0</v>
      </c>
      <c r="J48" s="1041">
        <v>0</v>
      </c>
      <c r="K48" s="1041">
        <v>0</v>
      </c>
      <c r="L48" s="1041">
        <v>0</v>
      </c>
      <c r="M48" s="838">
        <v>0</v>
      </c>
      <c r="N48" s="1439"/>
      <c r="O48" s="838">
        <v>0</v>
      </c>
      <c r="P48" s="838">
        <v>0</v>
      </c>
      <c r="Q48" s="838">
        <v>0</v>
      </c>
      <c r="R48" s="1041">
        <v>0</v>
      </c>
      <c r="S48">
        <v>0</v>
      </c>
      <c r="U48" s="838">
        <v>0</v>
      </c>
      <c r="V48" s="838">
        <v>0</v>
      </c>
      <c r="W48" s="838">
        <v>0</v>
      </c>
      <c r="X48" s="838">
        <v>0</v>
      </c>
      <c r="Y48">
        <v>0</v>
      </c>
    </row>
    <row r="49" spans="1:25" ht="12.75">
      <c r="A49" s="1072">
        <f t="shared" si="1"/>
        <v>2.329999999999993</v>
      </c>
      <c r="B49" s="838" t="s">
        <v>1013</v>
      </c>
      <c r="C49" s="1041">
        <v>0</v>
      </c>
      <c r="D49" s="1041">
        <v>0</v>
      </c>
      <c r="E49" s="1041"/>
      <c r="F49" s="1041"/>
      <c r="G49" s="1041">
        <f t="shared" si="0"/>
        <v>0</v>
      </c>
      <c r="H49" s="1041"/>
      <c r="I49" s="1041">
        <v>0</v>
      </c>
      <c r="J49" s="1041">
        <v>0</v>
      </c>
      <c r="K49" s="1041">
        <v>0</v>
      </c>
      <c r="L49" s="1041">
        <v>0</v>
      </c>
      <c r="M49" s="838">
        <v>0</v>
      </c>
      <c r="N49" s="1439"/>
      <c r="O49" s="838">
        <v>0</v>
      </c>
      <c r="P49" s="838">
        <v>0</v>
      </c>
      <c r="Q49" s="838">
        <v>0</v>
      </c>
      <c r="R49" s="1041">
        <v>0</v>
      </c>
      <c r="S49">
        <v>0</v>
      </c>
      <c r="U49" s="838">
        <v>0</v>
      </c>
      <c r="V49" s="838">
        <v>0</v>
      </c>
      <c r="W49" s="838">
        <v>0</v>
      </c>
      <c r="X49" s="838">
        <v>0</v>
      </c>
      <c r="Y49">
        <v>0</v>
      </c>
    </row>
    <row r="50" spans="1:25" ht="12.75">
      <c r="A50" s="1072">
        <f t="shared" si="1"/>
        <v>2.3399999999999928</v>
      </c>
      <c r="B50" s="838" t="s">
        <v>1014</v>
      </c>
      <c r="C50" s="1041">
        <v>13349275.59</v>
      </c>
      <c r="D50" s="1041">
        <v>8874857.39</v>
      </c>
      <c r="E50" s="1041"/>
      <c r="F50" s="1041"/>
      <c r="G50" s="1041">
        <f t="shared" si="0"/>
        <v>11112066</v>
      </c>
      <c r="H50" s="1041"/>
      <c r="I50" s="1041">
        <v>1029817.39</v>
      </c>
      <c r="J50" s="1041">
        <v>7343651.9399999995</v>
      </c>
      <c r="K50" s="1041">
        <v>516820.865</v>
      </c>
      <c r="L50" s="1041">
        <v>2221776.295</v>
      </c>
      <c r="M50" s="838">
        <v>0</v>
      </c>
      <c r="N50" s="1439"/>
      <c r="O50" s="838">
        <v>1348779.48</v>
      </c>
      <c r="P50" s="838">
        <v>8392796.35</v>
      </c>
      <c r="Q50" s="838">
        <v>675943.33</v>
      </c>
      <c r="R50" s="1041">
        <v>2931756.43</v>
      </c>
      <c r="S50">
        <v>0</v>
      </c>
      <c r="U50" s="838">
        <v>710855.3</v>
      </c>
      <c r="V50" s="838">
        <v>6294507.53</v>
      </c>
      <c r="W50" s="838">
        <v>357698.4</v>
      </c>
      <c r="X50" s="838">
        <v>1511796.16</v>
      </c>
      <c r="Y50">
        <v>0</v>
      </c>
    </row>
    <row r="51" spans="1:25" ht="12.75">
      <c r="A51" s="1072">
        <f t="shared" si="1"/>
        <v>2.3499999999999925</v>
      </c>
      <c r="B51" s="838" t="s">
        <v>1015</v>
      </c>
      <c r="C51" s="1041">
        <v>73937.9</v>
      </c>
      <c r="D51" s="1041">
        <v>0.04</v>
      </c>
      <c r="E51" s="1041"/>
      <c r="F51" s="1041"/>
      <c r="G51" s="1041">
        <f t="shared" si="0"/>
        <v>36969</v>
      </c>
      <c r="H51" s="1041"/>
      <c r="I51" s="1041">
        <v>36968.969999999994</v>
      </c>
      <c r="J51" s="1041">
        <v>0</v>
      </c>
      <c r="K51" s="1041">
        <v>0</v>
      </c>
      <c r="L51" s="1041">
        <v>0</v>
      </c>
      <c r="M51" s="838">
        <v>0</v>
      </c>
      <c r="N51" s="1439"/>
      <c r="O51" s="838">
        <v>73937.9</v>
      </c>
      <c r="P51" s="838">
        <v>0</v>
      </c>
      <c r="Q51" s="838">
        <v>0</v>
      </c>
      <c r="R51" s="1041">
        <v>0</v>
      </c>
      <c r="S51">
        <v>0</v>
      </c>
      <c r="U51" s="838">
        <v>0.04</v>
      </c>
      <c r="V51" s="838">
        <v>0</v>
      </c>
      <c r="W51" s="838">
        <v>0</v>
      </c>
      <c r="X51" s="838">
        <v>0</v>
      </c>
      <c r="Y51">
        <v>0</v>
      </c>
    </row>
    <row r="52" spans="1:25" ht="12.75">
      <c r="A52" s="1072">
        <f t="shared" si="1"/>
        <v>2.3599999999999923</v>
      </c>
      <c r="B52" s="838" t="s">
        <v>1016</v>
      </c>
      <c r="C52" s="1041">
        <v>5766292.74</v>
      </c>
      <c r="D52" s="1041">
        <v>5378717.9399999995</v>
      </c>
      <c r="E52" s="1041"/>
      <c r="F52" s="1041"/>
      <c r="G52" s="1041">
        <f t="shared" si="0"/>
        <v>5572505</v>
      </c>
      <c r="H52" s="1041"/>
      <c r="I52" s="1041">
        <v>624573.83</v>
      </c>
      <c r="J52" s="1041">
        <v>3278532.91</v>
      </c>
      <c r="K52" s="1041">
        <v>366062.21</v>
      </c>
      <c r="L52" s="1041">
        <v>1303336.3900000001</v>
      </c>
      <c r="M52" s="838">
        <v>0</v>
      </c>
      <c r="N52" s="1439"/>
      <c r="O52" s="838">
        <v>685820.34</v>
      </c>
      <c r="P52" s="838">
        <v>3484714.59</v>
      </c>
      <c r="Q52" s="838">
        <v>298336.58</v>
      </c>
      <c r="R52" s="1041">
        <v>1297421.23</v>
      </c>
      <c r="S52">
        <v>0</v>
      </c>
      <c r="U52" s="838">
        <v>563327.32</v>
      </c>
      <c r="V52" s="838">
        <v>3072351.23</v>
      </c>
      <c r="W52" s="838">
        <v>433787.84</v>
      </c>
      <c r="X52" s="838">
        <v>1309251.55</v>
      </c>
      <c r="Y52">
        <v>0</v>
      </c>
    </row>
    <row r="53" spans="1:25" ht="12.75">
      <c r="A53" s="1072">
        <f t="shared" si="1"/>
        <v>2.369999999999992</v>
      </c>
      <c r="B53" s="838" t="s">
        <v>1017</v>
      </c>
      <c r="C53" s="1041">
        <v>817675.39</v>
      </c>
      <c r="D53" s="1041">
        <v>0.02</v>
      </c>
      <c r="E53" s="1041"/>
      <c r="F53" s="1041"/>
      <c r="G53" s="1041">
        <f t="shared" si="0"/>
        <v>408838</v>
      </c>
      <c r="H53" s="1041"/>
      <c r="I53" s="1041">
        <v>408837.705</v>
      </c>
      <c r="J53" s="1041">
        <v>0</v>
      </c>
      <c r="K53" s="1041">
        <v>0</v>
      </c>
      <c r="L53" s="1041">
        <v>0</v>
      </c>
      <c r="M53" s="838">
        <v>0</v>
      </c>
      <c r="N53" s="1439"/>
      <c r="O53" s="838">
        <v>817675.39</v>
      </c>
      <c r="P53" s="838">
        <v>0</v>
      </c>
      <c r="Q53" s="838">
        <v>0</v>
      </c>
      <c r="R53" s="1041">
        <v>0</v>
      </c>
      <c r="S53">
        <v>0</v>
      </c>
      <c r="U53" s="838">
        <v>0.02</v>
      </c>
      <c r="V53" s="838">
        <v>0</v>
      </c>
      <c r="W53" s="838">
        <v>0</v>
      </c>
      <c r="X53" s="838">
        <v>0</v>
      </c>
      <c r="Y53">
        <v>0</v>
      </c>
    </row>
    <row r="54" spans="1:25" ht="12.75">
      <c r="A54" s="1072">
        <f t="shared" si="1"/>
        <v>2.379999999999992</v>
      </c>
      <c r="B54" s="838" t="s">
        <v>1018</v>
      </c>
      <c r="C54" s="1041">
        <v>0</v>
      </c>
      <c r="D54" s="1041">
        <v>0</v>
      </c>
      <c r="E54" s="1041"/>
      <c r="F54" s="1041"/>
      <c r="G54" s="1041">
        <f t="shared" si="0"/>
        <v>0</v>
      </c>
      <c r="H54" s="1041"/>
      <c r="I54" s="1041">
        <v>0</v>
      </c>
      <c r="J54" s="1041">
        <v>0</v>
      </c>
      <c r="K54" s="1041">
        <v>0</v>
      </c>
      <c r="L54" s="1041">
        <v>0</v>
      </c>
      <c r="M54" s="838">
        <v>0</v>
      </c>
      <c r="N54" s="1439"/>
      <c r="O54" s="838">
        <v>0</v>
      </c>
      <c r="P54" s="838">
        <v>0</v>
      </c>
      <c r="Q54" s="838">
        <v>0</v>
      </c>
      <c r="R54" s="1041">
        <v>0</v>
      </c>
      <c r="S54">
        <v>0</v>
      </c>
      <c r="U54" s="838">
        <v>0</v>
      </c>
      <c r="V54" s="838">
        <v>0</v>
      </c>
      <c r="W54" s="838">
        <v>0</v>
      </c>
      <c r="X54" s="838">
        <v>0</v>
      </c>
      <c r="Y54">
        <v>0</v>
      </c>
    </row>
    <row r="55" spans="1:25" ht="12.75">
      <c r="A55" s="1072">
        <f t="shared" si="1"/>
        <v>2.3899999999999917</v>
      </c>
      <c r="B55" s="838" t="s">
        <v>1019</v>
      </c>
      <c r="C55" s="1041">
        <v>298253.15</v>
      </c>
      <c r="D55" s="1041">
        <v>311140.43</v>
      </c>
      <c r="E55" s="1041"/>
      <c r="F55" s="1041"/>
      <c r="G55" s="1041">
        <f t="shared" si="0"/>
        <v>304697</v>
      </c>
      <c r="H55" s="1041"/>
      <c r="I55" s="1041">
        <v>0</v>
      </c>
      <c r="J55" s="1041">
        <v>276119.98</v>
      </c>
      <c r="K55" s="1041">
        <v>0</v>
      </c>
      <c r="L55" s="1041">
        <v>28576.809999999998</v>
      </c>
      <c r="M55" s="838">
        <v>0</v>
      </c>
      <c r="N55" s="1439"/>
      <c r="O55" s="838">
        <v>0</v>
      </c>
      <c r="P55" s="838">
        <v>275088.14</v>
      </c>
      <c r="Q55" s="838">
        <v>0</v>
      </c>
      <c r="R55" s="1041">
        <v>23165.01</v>
      </c>
      <c r="S55">
        <v>0</v>
      </c>
      <c r="U55" s="838">
        <v>0</v>
      </c>
      <c r="V55" s="838">
        <v>277151.82</v>
      </c>
      <c r="W55" s="838">
        <v>0</v>
      </c>
      <c r="X55" s="838">
        <v>33988.61</v>
      </c>
      <c r="Y55">
        <v>0</v>
      </c>
    </row>
    <row r="56" spans="1:25" ht="12.75">
      <c r="A56" s="1072">
        <f t="shared" si="1"/>
        <v>2.3999999999999915</v>
      </c>
      <c r="B56" s="838" t="s">
        <v>1020</v>
      </c>
      <c r="C56" s="1041">
        <v>1477733.38</v>
      </c>
      <c r="D56" s="1041">
        <v>34999.99</v>
      </c>
      <c r="E56" s="1041"/>
      <c r="F56" s="1041"/>
      <c r="G56" s="1041">
        <f t="shared" si="0"/>
        <v>756367</v>
      </c>
      <c r="H56" s="1041"/>
      <c r="I56" s="1041">
        <v>756366.6849999999</v>
      </c>
      <c r="J56" s="1041">
        <v>0</v>
      </c>
      <c r="K56" s="1041">
        <v>0</v>
      </c>
      <c r="L56" s="1041">
        <v>0</v>
      </c>
      <c r="M56" s="838">
        <v>0</v>
      </c>
      <c r="N56" s="1439"/>
      <c r="O56" s="838">
        <v>1477733.38</v>
      </c>
      <c r="P56" s="838">
        <v>0</v>
      </c>
      <c r="Q56" s="838">
        <v>0</v>
      </c>
      <c r="R56" s="1041">
        <v>0</v>
      </c>
      <c r="S56">
        <v>0</v>
      </c>
      <c r="U56" s="838">
        <v>34999.99</v>
      </c>
      <c r="V56" s="838">
        <v>0</v>
      </c>
      <c r="W56" s="838">
        <v>0</v>
      </c>
      <c r="X56" s="838">
        <v>0</v>
      </c>
      <c r="Y56">
        <v>0</v>
      </c>
    </row>
    <row r="57" spans="1:25" ht="12.75">
      <c r="A57" s="1072">
        <f t="shared" si="1"/>
        <v>2.4099999999999913</v>
      </c>
      <c r="B57" s="838" t="s">
        <v>1021</v>
      </c>
      <c r="C57" s="1041">
        <v>-1</v>
      </c>
      <c r="D57" s="1041">
        <v>-1</v>
      </c>
      <c r="E57" s="1041"/>
      <c r="F57" s="1041"/>
      <c r="G57" s="1041">
        <f t="shared" si="0"/>
        <v>-1</v>
      </c>
      <c r="H57" s="1041"/>
      <c r="I57" s="1041">
        <v>0</v>
      </c>
      <c r="J57" s="1041">
        <v>-1</v>
      </c>
      <c r="K57" s="1041">
        <v>0</v>
      </c>
      <c r="L57" s="1041">
        <v>0</v>
      </c>
      <c r="M57" s="838">
        <v>0</v>
      </c>
      <c r="N57" s="1439"/>
      <c r="O57" s="838">
        <v>0</v>
      </c>
      <c r="P57" s="838">
        <v>-1</v>
      </c>
      <c r="Q57" s="838">
        <v>0</v>
      </c>
      <c r="R57" s="1041">
        <v>0</v>
      </c>
      <c r="S57">
        <v>0</v>
      </c>
      <c r="U57" s="838">
        <v>0</v>
      </c>
      <c r="V57" s="838">
        <v>-1</v>
      </c>
      <c r="W57" s="838">
        <v>0</v>
      </c>
      <c r="X57" s="838">
        <v>0</v>
      </c>
      <c r="Y57">
        <v>0</v>
      </c>
    </row>
    <row r="58" spans="1:25" ht="12.75">
      <c r="A58" s="1072">
        <f t="shared" si="1"/>
        <v>2.419999999999991</v>
      </c>
      <c r="B58" s="838" t="s">
        <v>1022</v>
      </c>
      <c r="C58" s="1041">
        <v>187014.1</v>
      </c>
      <c r="D58" s="1041">
        <v>0.64</v>
      </c>
      <c r="E58" s="1041"/>
      <c r="F58" s="1041"/>
      <c r="G58" s="1041">
        <f t="shared" si="0"/>
        <v>93507</v>
      </c>
      <c r="H58" s="1041"/>
      <c r="I58" s="1041">
        <v>74957.37000000001</v>
      </c>
      <c r="J58" s="1041">
        <v>0</v>
      </c>
      <c r="K58" s="1041">
        <v>0</v>
      </c>
      <c r="L58" s="1041">
        <v>18550</v>
      </c>
      <c r="M58" s="838">
        <v>0</v>
      </c>
      <c r="N58" s="1439"/>
      <c r="O58" s="838">
        <v>149914.1</v>
      </c>
      <c r="P58" s="838">
        <v>0</v>
      </c>
      <c r="Q58" s="838">
        <v>0</v>
      </c>
      <c r="R58" s="1041">
        <v>37100</v>
      </c>
      <c r="S58">
        <v>0</v>
      </c>
      <c r="U58" s="838">
        <v>0.64</v>
      </c>
      <c r="V58" s="838">
        <v>0</v>
      </c>
      <c r="W58" s="838">
        <v>0</v>
      </c>
      <c r="X58" s="838">
        <v>0</v>
      </c>
      <c r="Y58">
        <v>0</v>
      </c>
    </row>
    <row r="59" spans="1:25" ht="12.75">
      <c r="A59" s="1072">
        <f t="shared" si="1"/>
        <v>2.429999999999991</v>
      </c>
      <c r="B59" s="838" t="s">
        <v>1023</v>
      </c>
      <c r="C59" s="1041">
        <v>1051688.67</v>
      </c>
      <c r="D59" s="1041">
        <v>937999.95</v>
      </c>
      <c r="E59" s="1041"/>
      <c r="F59" s="1041"/>
      <c r="G59" s="1041">
        <f t="shared" si="0"/>
        <v>994844</v>
      </c>
      <c r="H59" s="1041"/>
      <c r="I59" s="1041">
        <v>0</v>
      </c>
      <c r="J59" s="1041">
        <v>0</v>
      </c>
      <c r="K59" s="1041">
        <v>0</v>
      </c>
      <c r="L59" s="1041">
        <v>994844.3099999999</v>
      </c>
      <c r="M59" s="838">
        <v>0</v>
      </c>
      <c r="N59" s="1439"/>
      <c r="O59" s="838">
        <v>0</v>
      </c>
      <c r="P59" s="838">
        <v>0</v>
      </c>
      <c r="Q59" s="838">
        <v>0</v>
      </c>
      <c r="R59" s="1041">
        <v>1051688.67</v>
      </c>
      <c r="S59">
        <v>0</v>
      </c>
      <c r="U59" s="838">
        <v>0</v>
      </c>
      <c r="V59" s="838">
        <v>0</v>
      </c>
      <c r="W59" s="838">
        <v>0</v>
      </c>
      <c r="X59" s="838">
        <v>937999.95</v>
      </c>
      <c r="Y59">
        <v>0</v>
      </c>
    </row>
    <row r="60" spans="1:25" ht="12.75">
      <c r="A60" s="1072">
        <f t="shared" si="1"/>
        <v>2.4399999999999906</v>
      </c>
      <c r="B60" s="838" t="s">
        <v>1024</v>
      </c>
      <c r="C60" s="1041">
        <v>1.8800000000010186</v>
      </c>
      <c r="D60" s="1041">
        <v>0.8900000000012369</v>
      </c>
      <c r="E60" s="1041"/>
      <c r="F60" s="1041"/>
      <c r="G60" s="1041">
        <f t="shared" si="0"/>
        <v>1</v>
      </c>
      <c r="H60" s="1041"/>
      <c r="I60" s="1041">
        <v>0.8999999999996362</v>
      </c>
      <c r="J60" s="1041">
        <v>1.2400000000016007</v>
      </c>
      <c r="K60" s="1041">
        <v>0.49499999999989086</v>
      </c>
      <c r="L60" s="1041">
        <v>-1.25</v>
      </c>
      <c r="M60" s="838">
        <v>0</v>
      </c>
      <c r="N60" s="1439"/>
      <c r="O60" s="838">
        <v>0.8999999999996362</v>
      </c>
      <c r="P60" s="838">
        <v>1.2400000000016007</v>
      </c>
      <c r="Q60" s="838">
        <v>0.9899999999997817</v>
      </c>
      <c r="R60" s="1041">
        <v>-1.25</v>
      </c>
      <c r="S60">
        <v>0</v>
      </c>
      <c r="U60" s="838">
        <v>0.8999999999996362</v>
      </c>
      <c r="V60" s="838">
        <v>1.2400000000016007</v>
      </c>
      <c r="W60" s="838">
        <v>0</v>
      </c>
      <c r="X60" s="838">
        <v>-1.25</v>
      </c>
      <c r="Y60">
        <v>0</v>
      </c>
    </row>
    <row r="61" spans="1:25" ht="12.75">
      <c r="A61" s="1072">
        <f t="shared" si="1"/>
        <v>2.4499999999999904</v>
      </c>
      <c r="B61" s="838" t="s">
        <v>1025</v>
      </c>
      <c r="C61" s="1041">
        <v>290160.75</v>
      </c>
      <c r="D61" s="1041">
        <v>365305.55</v>
      </c>
      <c r="E61" s="1041"/>
      <c r="F61" s="1041"/>
      <c r="G61" s="1041">
        <f t="shared" si="0"/>
        <v>327733</v>
      </c>
      <c r="H61" s="1041"/>
      <c r="I61" s="1041">
        <v>10841.875</v>
      </c>
      <c r="J61" s="1041">
        <v>106891.4</v>
      </c>
      <c r="K61" s="1041">
        <v>4795.25</v>
      </c>
      <c r="L61" s="1041">
        <v>205204.625</v>
      </c>
      <c r="M61" s="838">
        <v>0</v>
      </c>
      <c r="N61" s="1439"/>
      <c r="O61" s="838">
        <v>-16989.85</v>
      </c>
      <c r="P61" s="838">
        <v>105206.5</v>
      </c>
      <c r="Q61" s="838">
        <v>2844</v>
      </c>
      <c r="R61" s="1041">
        <v>199100.1</v>
      </c>
      <c r="S61">
        <v>0</v>
      </c>
      <c r="U61" s="838">
        <v>38673.6</v>
      </c>
      <c r="V61" s="838">
        <v>108576.3</v>
      </c>
      <c r="W61" s="838">
        <v>6746.5</v>
      </c>
      <c r="X61" s="838">
        <v>211309.15</v>
      </c>
      <c r="Y61">
        <v>0</v>
      </c>
    </row>
    <row r="62" spans="1:25" ht="12.75">
      <c r="A62" s="1072">
        <f t="shared" si="1"/>
        <v>2.45999999999999</v>
      </c>
      <c r="B62" s="838" t="s">
        <v>1026</v>
      </c>
      <c r="C62" s="1041">
        <v>-8897.69999999999</v>
      </c>
      <c r="D62" s="1041">
        <v>-10151.40000000001</v>
      </c>
      <c r="E62" s="1041"/>
      <c r="F62" s="1041"/>
      <c r="G62" s="1041">
        <f t="shared" si="0"/>
        <v>-9525</v>
      </c>
      <c r="H62" s="1041"/>
      <c r="I62" s="1041">
        <v>-5973.625</v>
      </c>
      <c r="J62" s="1041">
        <v>-5515.125</v>
      </c>
      <c r="K62" s="1041">
        <v>331.45000000000005</v>
      </c>
      <c r="L62" s="1041">
        <v>1632.75</v>
      </c>
      <c r="M62" s="838">
        <v>0</v>
      </c>
      <c r="N62" s="1439"/>
      <c r="O62" s="838">
        <v>-5465.6</v>
      </c>
      <c r="P62" s="838">
        <v>-4962.299999999988</v>
      </c>
      <c r="Q62" s="838">
        <v>258.3</v>
      </c>
      <c r="R62" s="1041">
        <v>1271.9</v>
      </c>
      <c r="S62">
        <v>0</v>
      </c>
      <c r="U62" s="838">
        <v>-6481.65</v>
      </c>
      <c r="V62" s="838">
        <v>-6067.950000000012</v>
      </c>
      <c r="W62" s="838">
        <v>404.6</v>
      </c>
      <c r="X62" s="838">
        <v>1993.6</v>
      </c>
      <c r="Y62">
        <v>0</v>
      </c>
    </row>
    <row r="63" spans="1:25" ht="12.75">
      <c r="A63" s="1072">
        <f t="shared" si="1"/>
        <v>2.46999999999999</v>
      </c>
      <c r="B63" s="838" t="s">
        <v>1027</v>
      </c>
      <c r="C63" s="1041">
        <v>-27278.85</v>
      </c>
      <c r="D63" s="1041">
        <v>-27278.85</v>
      </c>
      <c r="E63" s="1041"/>
      <c r="F63" s="1041"/>
      <c r="G63" s="1041">
        <f t="shared" si="0"/>
        <v>-27279</v>
      </c>
      <c r="H63" s="1041"/>
      <c r="I63" s="1041">
        <v>-27278.85</v>
      </c>
      <c r="J63" s="1041">
        <v>0</v>
      </c>
      <c r="K63" s="1041">
        <v>0</v>
      </c>
      <c r="L63" s="1041">
        <v>0</v>
      </c>
      <c r="M63" s="838">
        <v>0</v>
      </c>
      <c r="N63" s="1439"/>
      <c r="O63" s="838">
        <v>-27278.85</v>
      </c>
      <c r="P63" s="838">
        <v>0</v>
      </c>
      <c r="Q63" s="838">
        <v>0</v>
      </c>
      <c r="R63" s="1041">
        <v>0</v>
      </c>
      <c r="S63">
        <v>0</v>
      </c>
      <c r="U63" s="838">
        <v>-27278.85</v>
      </c>
      <c r="V63" s="838">
        <v>0</v>
      </c>
      <c r="W63" s="838">
        <v>0</v>
      </c>
      <c r="X63" s="838">
        <v>0</v>
      </c>
      <c r="Y63">
        <v>0</v>
      </c>
    </row>
    <row r="64" spans="1:25" ht="12.75">
      <c r="A64" s="1072">
        <f t="shared" si="1"/>
        <v>2.4799999999999898</v>
      </c>
      <c r="B64" s="838" t="s">
        <v>1028</v>
      </c>
      <c r="C64" s="1041">
        <v>0</v>
      </c>
      <c r="D64" s="1041">
        <v>0</v>
      </c>
      <c r="E64" s="1041"/>
      <c r="F64" s="1041"/>
      <c r="G64" s="1041">
        <f t="shared" si="0"/>
        <v>0</v>
      </c>
      <c r="H64" s="1041"/>
      <c r="I64" s="1041">
        <v>0</v>
      </c>
      <c r="J64" s="1041">
        <v>0</v>
      </c>
      <c r="K64" s="1041">
        <v>0</v>
      </c>
      <c r="L64" s="1041">
        <v>0</v>
      </c>
      <c r="M64" s="838">
        <v>0</v>
      </c>
      <c r="N64" s="1439"/>
      <c r="O64" s="838">
        <v>0</v>
      </c>
      <c r="P64" s="838">
        <v>0</v>
      </c>
      <c r="Q64" s="838">
        <v>0</v>
      </c>
      <c r="R64" s="1041">
        <v>0</v>
      </c>
      <c r="S64">
        <v>0</v>
      </c>
      <c r="U64" s="838">
        <v>0</v>
      </c>
      <c r="V64" s="838">
        <v>0</v>
      </c>
      <c r="W64" s="838">
        <v>0</v>
      </c>
      <c r="X64" s="838">
        <v>0</v>
      </c>
      <c r="Y64">
        <v>0</v>
      </c>
    </row>
    <row r="65" spans="1:25" ht="12.75">
      <c r="A65" s="1072">
        <f t="shared" si="1"/>
        <v>2.4899999999999896</v>
      </c>
      <c r="B65" s="838" t="s">
        <v>1029</v>
      </c>
      <c r="C65" s="1041">
        <v>0</v>
      </c>
      <c r="D65" s="1041">
        <v>0</v>
      </c>
      <c r="E65" s="1041"/>
      <c r="F65" s="1041"/>
      <c r="G65" s="1041">
        <f t="shared" si="0"/>
        <v>0</v>
      </c>
      <c r="H65" s="1041"/>
      <c r="I65" s="1041">
        <v>0</v>
      </c>
      <c r="J65" s="1041">
        <v>0</v>
      </c>
      <c r="K65" s="1041">
        <v>0</v>
      </c>
      <c r="L65" s="1041">
        <v>0</v>
      </c>
      <c r="M65" s="838">
        <v>0</v>
      </c>
      <c r="N65" s="1439"/>
      <c r="O65" s="838">
        <v>0</v>
      </c>
      <c r="P65" s="838">
        <v>0</v>
      </c>
      <c r="Q65" s="838">
        <v>0</v>
      </c>
      <c r="R65" s="1041">
        <v>0</v>
      </c>
      <c r="S65">
        <v>0</v>
      </c>
      <c r="U65" s="838">
        <v>0</v>
      </c>
      <c r="V65" s="838">
        <v>0</v>
      </c>
      <c r="W65" s="838">
        <v>0</v>
      </c>
      <c r="X65" s="838">
        <v>0</v>
      </c>
      <c r="Y65">
        <v>0</v>
      </c>
    </row>
    <row r="66" spans="1:25" ht="12.75">
      <c r="A66" s="1072">
        <f t="shared" si="1"/>
        <v>2.4999999999999893</v>
      </c>
      <c r="B66" s="838" t="s">
        <v>1030</v>
      </c>
      <c r="C66" s="1041">
        <v>1070282.36</v>
      </c>
      <c r="D66" s="1041">
        <v>1027932.71</v>
      </c>
      <c r="E66" s="1041"/>
      <c r="F66" s="1041"/>
      <c r="G66" s="1041">
        <f t="shared" si="0"/>
        <v>1049108</v>
      </c>
      <c r="H66" s="1041"/>
      <c r="I66" s="1041">
        <v>1049107.5350000001</v>
      </c>
      <c r="J66" s="1041">
        <v>0</v>
      </c>
      <c r="K66" s="1041">
        <v>0</v>
      </c>
      <c r="L66" s="1041">
        <v>0</v>
      </c>
      <c r="M66" s="838">
        <v>0</v>
      </c>
      <c r="N66" s="1439"/>
      <c r="O66" s="838">
        <v>1070282.36</v>
      </c>
      <c r="P66" s="838">
        <v>0</v>
      </c>
      <c r="Q66" s="838">
        <v>0</v>
      </c>
      <c r="R66" s="1041">
        <v>0</v>
      </c>
      <c r="S66">
        <v>0</v>
      </c>
      <c r="U66" s="838">
        <v>1027932.71</v>
      </c>
      <c r="V66" s="838">
        <v>0</v>
      </c>
      <c r="W66" s="838">
        <v>0</v>
      </c>
      <c r="X66" s="838">
        <v>0</v>
      </c>
      <c r="Y66">
        <v>0</v>
      </c>
    </row>
    <row r="67" spans="1:25" ht="12.75">
      <c r="A67" s="1072">
        <f t="shared" si="1"/>
        <v>2.509999999999989</v>
      </c>
      <c r="B67" s="838" t="s">
        <v>1031</v>
      </c>
      <c r="C67" s="1041">
        <v>163510.18</v>
      </c>
      <c r="D67" s="1041">
        <v>71404.37</v>
      </c>
      <c r="E67" s="1041"/>
      <c r="F67" s="1041"/>
      <c r="G67" s="1041">
        <f t="shared" si="0"/>
        <v>117457</v>
      </c>
      <c r="H67" s="1041"/>
      <c r="I67" s="1041">
        <v>117457.275</v>
      </c>
      <c r="J67" s="1041">
        <v>0</v>
      </c>
      <c r="K67" s="1041">
        <v>0</v>
      </c>
      <c r="L67" s="1041">
        <v>0</v>
      </c>
      <c r="M67" s="838">
        <v>0</v>
      </c>
      <c r="N67" s="1439"/>
      <c r="O67" s="838">
        <v>163510.18</v>
      </c>
      <c r="P67" s="838">
        <v>0</v>
      </c>
      <c r="Q67" s="838">
        <v>0</v>
      </c>
      <c r="R67" s="1041">
        <v>0</v>
      </c>
      <c r="S67">
        <v>0</v>
      </c>
      <c r="U67" s="838">
        <v>71404.37</v>
      </c>
      <c r="V67" s="838">
        <v>0</v>
      </c>
      <c r="W67" s="838">
        <v>0</v>
      </c>
      <c r="X67" s="838">
        <v>0</v>
      </c>
      <c r="Y67">
        <v>0</v>
      </c>
    </row>
    <row r="68" spans="1:25" ht="12.75">
      <c r="A68" s="1072">
        <f t="shared" si="1"/>
        <v>2.519999999999989</v>
      </c>
      <c r="B68" s="838" t="s">
        <v>1032</v>
      </c>
      <c r="C68" s="1041">
        <v>0</v>
      </c>
      <c r="D68" s="1041">
        <v>0</v>
      </c>
      <c r="E68" s="1041"/>
      <c r="F68" s="1041"/>
      <c r="G68" s="1041">
        <f t="shared" si="0"/>
        <v>0</v>
      </c>
      <c r="H68" s="1041"/>
      <c r="I68" s="1041">
        <v>0</v>
      </c>
      <c r="J68" s="1041">
        <v>0</v>
      </c>
      <c r="K68" s="1041">
        <v>0</v>
      </c>
      <c r="L68" s="1041">
        <v>0</v>
      </c>
      <c r="M68" s="838">
        <v>0</v>
      </c>
      <c r="N68" s="1439"/>
      <c r="O68" s="838">
        <v>0</v>
      </c>
      <c r="P68" s="838">
        <v>0</v>
      </c>
      <c r="Q68" s="838">
        <v>0</v>
      </c>
      <c r="R68" s="1041">
        <v>0</v>
      </c>
      <c r="S68">
        <v>0</v>
      </c>
      <c r="U68" s="838">
        <v>0</v>
      </c>
      <c r="V68" s="838">
        <v>0</v>
      </c>
      <c r="W68" s="838">
        <v>0</v>
      </c>
      <c r="X68" s="838">
        <v>0</v>
      </c>
      <c r="Y68">
        <v>0</v>
      </c>
    </row>
    <row r="69" spans="1:25" ht="12.75">
      <c r="A69" s="1072">
        <f t="shared" si="1"/>
        <v>2.5299999999999887</v>
      </c>
      <c r="B69" s="838" t="s">
        <v>1033</v>
      </c>
      <c r="C69" s="1041">
        <v>136980.33</v>
      </c>
      <c r="D69" s="1041">
        <v>117105</v>
      </c>
      <c r="E69" s="1041"/>
      <c r="F69" s="1041"/>
      <c r="G69" s="1041">
        <f t="shared" si="0"/>
        <v>127043</v>
      </c>
      <c r="H69" s="1041"/>
      <c r="I69" s="1041">
        <v>0</v>
      </c>
      <c r="J69" s="1041">
        <v>0</v>
      </c>
      <c r="K69" s="1041">
        <v>127042.665</v>
      </c>
      <c r="L69" s="1041">
        <v>0</v>
      </c>
      <c r="M69" s="838">
        <v>0</v>
      </c>
      <c r="N69" s="1439"/>
      <c r="O69" s="838">
        <v>0</v>
      </c>
      <c r="P69" s="838">
        <v>0</v>
      </c>
      <c r="Q69" s="838">
        <v>136980.33</v>
      </c>
      <c r="R69" s="1041">
        <v>0</v>
      </c>
      <c r="S69">
        <v>0</v>
      </c>
      <c r="U69" s="838">
        <v>0</v>
      </c>
      <c r="V69" s="838">
        <v>0</v>
      </c>
      <c r="W69" s="838">
        <v>117105</v>
      </c>
      <c r="X69" s="838">
        <v>0</v>
      </c>
      <c r="Y69">
        <v>0</v>
      </c>
    </row>
    <row r="70" spans="1:25" ht="12.75">
      <c r="A70" s="1072">
        <f t="shared" si="1"/>
        <v>2.5399999999999885</v>
      </c>
      <c r="B70" s="838" t="s">
        <v>1034</v>
      </c>
      <c r="C70" s="1041">
        <v>0</v>
      </c>
      <c r="D70" s="1041">
        <v>0</v>
      </c>
      <c r="E70" s="1041"/>
      <c r="F70" s="1041"/>
      <c r="G70" s="1041">
        <f t="shared" si="0"/>
        <v>0</v>
      </c>
      <c r="H70" s="1041"/>
      <c r="I70" s="1041">
        <v>0</v>
      </c>
      <c r="J70" s="1041">
        <v>0</v>
      </c>
      <c r="K70" s="1041">
        <v>0</v>
      </c>
      <c r="L70" s="1041">
        <v>0</v>
      </c>
      <c r="M70" s="838">
        <v>0</v>
      </c>
      <c r="N70" s="1439"/>
      <c r="O70" s="838">
        <v>0</v>
      </c>
      <c r="P70" s="838">
        <v>0</v>
      </c>
      <c r="Q70" s="838">
        <v>0</v>
      </c>
      <c r="R70" s="1041">
        <v>0</v>
      </c>
      <c r="S70">
        <v>0</v>
      </c>
      <c r="U70" s="838">
        <v>0</v>
      </c>
      <c r="V70" s="838">
        <v>0</v>
      </c>
      <c r="W70" s="838">
        <v>0</v>
      </c>
      <c r="X70" s="838">
        <v>0</v>
      </c>
      <c r="Y70">
        <v>0</v>
      </c>
    </row>
    <row r="71" spans="1:25" ht="12.75">
      <c r="A71" s="1072">
        <f t="shared" si="1"/>
        <v>2.5499999999999883</v>
      </c>
      <c r="B71" s="838" t="s">
        <v>1035</v>
      </c>
      <c r="C71" s="1041">
        <v>0</v>
      </c>
      <c r="D71" s="1041">
        <v>0</v>
      </c>
      <c r="E71" s="1041"/>
      <c r="F71" s="1041"/>
      <c r="G71" s="1041">
        <f t="shared" si="0"/>
        <v>0</v>
      </c>
      <c r="H71" s="1041"/>
      <c r="I71" s="1041">
        <v>0</v>
      </c>
      <c r="J71" s="1041">
        <v>0</v>
      </c>
      <c r="K71" s="1041">
        <v>0</v>
      </c>
      <c r="L71" s="1041">
        <v>0</v>
      </c>
      <c r="M71" s="838">
        <v>0</v>
      </c>
      <c r="N71" s="1439"/>
      <c r="O71" s="838">
        <v>0</v>
      </c>
      <c r="P71" s="838">
        <v>0</v>
      </c>
      <c r="Q71" s="838">
        <v>0</v>
      </c>
      <c r="R71" s="1041">
        <v>0</v>
      </c>
      <c r="S71">
        <v>0</v>
      </c>
      <c r="U71" s="838">
        <v>0</v>
      </c>
      <c r="V71" s="838">
        <v>0</v>
      </c>
      <c r="W71" s="838">
        <v>0</v>
      </c>
      <c r="X71" s="838">
        <v>0</v>
      </c>
      <c r="Y71">
        <v>0</v>
      </c>
    </row>
    <row r="72" spans="1:25" ht="12.75">
      <c r="A72" s="1072">
        <f t="shared" si="1"/>
        <v>2.559999999999988</v>
      </c>
      <c r="B72" s="838" t="s">
        <v>1036</v>
      </c>
      <c r="C72" s="1041">
        <v>12967.15</v>
      </c>
      <c r="D72" s="1041">
        <v>12967.15</v>
      </c>
      <c r="E72" s="1041"/>
      <c r="F72" s="1041"/>
      <c r="G72" s="1041">
        <f t="shared" si="0"/>
        <v>12967</v>
      </c>
      <c r="H72" s="1041"/>
      <c r="I72" s="1041">
        <v>12967.15</v>
      </c>
      <c r="J72" s="1041">
        <v>0</v>
      </c>
      <c r="K72" s="1041">
        <v>0</v>
      </c>
      <c r="L72" s="1041">
        <v>0</v>
      </c>
      <c r="M72" s="838">
        <v>0</v>
      </c>
      <c r="N72" s="1439"/>
      <c r="O72" s="838">
        <v>12967.15</v>
      </c>
      <c r="P72" s="838">
        <v>0</v>
      </c>
      <c r="Q72" s="838">
        <v>0</v>
      </c>
      <c r="R72" s="1041">
        <v>0</v>
      </c>
      <c r="S72">
        <v>0</v>
      </c>
      <c r="U72" s="838">
        <v>12967.15</v>
      </c>
      <c r="V72" s="838">
        <v>0</v>
      </c>
      <c r="W72" s="838">
        <v>0</v>
      </c>
      <c r="X72" s="838">
        <v>0</v>
      </c>
      <c r="Y72">
        <v>0</v>
      </c>
    </row>
    <row r="73" spans="1:25" ht="12.75">
      <c r="A73" s="1072">
        <f t="shared" si="1"/>
        <v>2.569999999999988</v>
      </c>
      <c r="B73" s="838" t="s">
        <v>1037</v>
      </c>
      <c r="C73" s="1041">
        <v>4583.2</v>
      </c>
      <c r="D73" s="1041">
        <v>4583.2</v>
      </c>
      <c r="E73" s="1041"/>
      <c r="F73" s="1041"/>
      <c r="G73" s="1041">
        <f t="shared" si="0"/>
        <v>4583</v>
      </c>
      <c r="H73" s="1041"/>
      <c r="I73" s="1041">
        <v>4583.2</v>
      </c>
      <c r="J73" s="1041">
        <v>0</v>
      </c>
      <c r="K73" s="1041">
        <v>0</v>
      </c>
      <c r="L73" s="1041">
        <v>0</v>
      </c>
      <c r="M73" s="838">
        <v>0</v>
      </c>
      <c r="N73" s="1439"/>
      <c r="O73" s="838">
        <v>4583.2</v>
      </c>
      <c r="P73" s="838">
        <v>0</v>
      </c>
      <c r="Q73" s="838">
        <v>0</v>
      </c>
      <c r="R73" s="1041">
        <v>0</v>
      </c>
      <c r="S73">
        <v>0</v>
      </c>
      <c r="U73" s="838">
        <v>4583.2</v>
      </c>
      <c r="V73" s="838">
        <v>0</v>
      </c>
      <c r="W73" s="838">
        <v>0</v>
      </c>
      <c r="X73" s="838">
        <v>0</v>
      </c>
      <c r="Y73">
        <v>0</v>
      </c>
    </row>
    <row r="74" spans="1:25" ht="12.75">
      <c r="A74" s="1072">
        <f t="shared" si="1"/>
        <v>2.5799999999999876</v>
      </c>
      <c r="B74" s="838" t="s">
        <v>1038</v>
      </c>
      <c r="C74" s="1041">
        <v>198200.66</v>
      </c>
      <c r="D74" s="1041">
        <v>207088.25</v>
      </c>
      <c r="E74" s="1041"/>
      <c r="F74" s="1041"/>
      <c r="G74" s="1041">
        <f t="shared" si="0"/>
        <v>202644</v>
      </c>
      <c r="H74" s="1041"/>
      <c r="I74" s="1041">
        <v>0</v>
      </c>
      <c r="J74" s="1041">
        <v>0</v>
      </c>
      <c r="K74" s="1041">
        <v>0</v>
      </c>
      <c r="L74" s="1041">
        <v>202644.45500000002</v>
      </c>
      <c r="M74" s="838">
        <v>0</v>
      </c>
      <c r="N74" s="1439"/>
      <c r="O74" s="838">
        <v>0</v>
      </c>
      <c r="P74" s="838">
        <v>0</v>
      </c>
      <c r="Q74" s="838">
        <v>0</v>
      </c>
      <c r="R74" s="1041">
        <v>198200.66</v>
      </c>
      <c r="S74">
        <v>0</v>
      </c>
      <c r="U74" s="838">
        <v>0</v>
      </c>
      <c r="V74" s="838">
        <v>0</v>
      </c>
      <c r="W74" s="838">
        <v>0</v>
      </c>
      <c r="X74" s="838">
        <v>207088.25</v>
      </c>
      <c r="Y74">
        <v>0</v>
      </c>
    </row>
    <row r="75" spans="1:25" ht="12.75">
      <c r="A75" s="1072">
        <f t="shared" si="1"/>
        <v>2.5899999999999874</v>
      </c>
      <c r="B75" s="838" t="s">
        <v>1039</v>
      </c>
      <c r="C75" s="1041">
        <v>748740.08</v>
      </c>
      <c r="D75" s="1041">
        <v>-2701944.73</v>
      </c>
      <c r="E75" s="1041"/>
      <c r="F75" s="1041"/>
      <c r="G75" s="1041">
        <f t="shared" si="0"/>
        <v>-976602</v>
      </c>
      <c r="H75" s="1041"/>
      <c r="I75" s="1041">
        <v>-976602.325</v>
      </c>
      <c r="J75" s="1041">
        <v>0</v>
      </c>
      <c r="K75" s="1041">
        <v>0</v>
      </c>
      <c r="L75" s="1041">
        <v>0</v>
      </c>
      <c r="M75" s="838">
        <v>0</v>
      </c>
      <c r="N75" s="1439"/>
      <c r="O75" s="838">
        <v>748740.08</v>
      </c>
      <c r="P75" s="838">
        <v>0</v>
      </c>
      <c r="Q75" s="838">
        <v>0</v>
      </c>
      <c r="R75" s="1041">
        <v>0</v>
      </c>
      <c r="S75">
        <v>0</v>
      </c>
      <c r="U75" s="838">
        <v>-2701944.73</v>
      </c>
      <c r="V75" s="838">
        <v>0</v>
      </c>
      <c r="W75" s="838">
        <v>0</v>
      </c>
      <c r="X75" s="838">
        <v>0</v>
      </c>
      <c r="Y75">
        <v>0</v>
      </c>
    </row>
    <row r="76" spans="1:25" ht="12.75">
      <c r="A76" s="1072">
        <f t="shared" si="1"/>
        <v>2.599999999999987</v>
      </c>
      <c r="B76" s="838" t="s">
        <v>1040</v>
      </c>
      <c r="C76" s="1041">
        <v>0</v>
      </c>
      <c r="D76" s="1041">
        <v>0</v>
      </c>
      <c r="E76" s="1041"/>
      <c r="F76" s="1041"/>
      <c r="G76" s="1041">
        <f t="shared" si="0"/>
        <v>0</v>
      </c>
      <c r="H76" s="1041"/>
      <c r="I76" s="1041">
        <v>0</v>
      </c>
      <c r="J76" s="1041">
        <v>0</v>
      </c>
      <c r="K76" s="1041">
        <v>0</v>
      </c>
      <c r="L76" s="1041">
        <v>0</v>
      </c>
      <c r="M76" s="838">
        <v>0</v>
      </c>
      <c r="N76" s="1439"/>
      <c r="O76" s="838">
        <v>0</v>
      </c>
      <c r="P76" s="838">
        <v>0</v>
      </c>
      <c r="Q76" s="838">
        <v>0</v>
      </c>
      <c r="R76" s="1041">
        <v>0</v>
      </c>
      <c r="S76">
        <v>0</v>
      </c>
      <c r="U76" s="838">
        <v>0</v>
      </c>
      <c r="V76" s="838">
        <v>0</v>
      </c>
      <c r="W76" s="838">
        <v>0</v>
      </c>
      <c r="X76" s="838">
        <v>0</v>
      </c>
      <c r="Y76">
        <v>0</v>
      </c>
    </row>
    <row r="77" spans="1:25" ht="12.75">
      <c r="A77" s="1072">
        <f t="shared" si="1"/>
        <v>2.609999999999987</v>
      </c>
      <c r="B77" s="838" t="s">
        <v>1041</v>
      </c>
      <c r="C77" s="1046">
        <v>255914168.51</v>
      </c>
      <c r="D77" s="1046">
        <v>330759257.24</v>
      </c>
      <c r="E77" s="1046"/>
      <c r="F77" s="1046"/>
      <c r="G77" s="1046">
        <f t="shared" si="0"/>
        <v>293336713</v>
      </c>
      <c r="H77" s="1046"/>
      <c r="I77" s="1046">
        <v>0</v>
      </c>
      <c r="J77" s="1046">
        <v>293336712.875</v>
      </c>
      <c r="K77" s="1046">
        <v>0</v>
      </c>
      <c r="L77" s="1046">
        <v>0</v>
      </c>
      <c r="M77" s="1440">
        <v>0</v>
      </c>
      <c r="N77" s="1440"/>
      <c r="O77" s="1440">
        <v>0</v>
      </c>
      <c r="P77" s="1440">
        <v>255914168.51</v>
      </c>
      <c r="Q77" s="1440">
        <v>0</v>
      </c>
      <c r="R77" s="1046">
        <v>0</v>
      </c>
      <c r="S77" s="1443">
        <v>0</v>
      </c>
      <c r="T77" s="1443"/>
      <c r="U77" s="1440">
        <v>0</v>
      </c>
      <c r="V77" s="1440">
        <v>330759257.24</v>
      </c>
      <c r="W77" s="1440">
        <v>0</v>
      </c>
      <c r="X77" s="1440">
        <v>0</v>
      </c>
      <c r="Y77" s="1443">
        <v>0</v>
      </c>
    </row>
    <row r="78" spans="1:25" ht="12.75">
      <c r="A78" s="1072">
        <f t="shared" si="1"/>
        <v>2.619999999999987</v>
      </c>
      <c r="B78" s="838" t="s">
        <v>1042</v>
      </c>
      <c r="C78" s="1438">
        <v>5672.74</v>
      </c>
      <c r="D78" s="1438">
        <v>5669.59</v>
      </c>
      <c r="E78" s="1438"/>
      <c r="F78" s="1438"/>
      <c r="G78" s="1438">
        <f t="shared" si="0"/>
        <v>5671</v>
      </c>
      <c r="H78" s="1438"/>
      <c r="I78" s="1438">
        <v>-1769.995</v>
      </c>
      <c r="J78" s="1438">
        <v>1097.605</v>
      </c>
      <c r="K78" s="1438">
        <v>63.53</v>
      </c>
      <c r="L78" s="1438">
        <v>6280.025</v>
      </c>
      <c r="M78" s="838">
        <v>0</v>
      </c>
      <c r="N78" s="1439"/>
      <c r="O78" s="838">
        <v>-1341.77</v>
      </c>
      <c r="P78" s="838">
        <v>-1947.22</v>
      </c>
      <c r="Q78" s="838">
        <v>103.08</v>
      </c>
      <c r="R78" s="1438">
        <v>8858.65</v>
      </c>
      <c r="S78">
        <v>0</v>
      </c>
      <c r="U78" s="838">
        <v>-2198.22</v>
      </c>
      <c r="V78" s="838">
        <v>4142.43</v>
      </c>
      <c r="W78" s="838">
        <v>23.98</v>
      </c>
      <c r="X78" s="838">
        <v>3701.4</v>
      </c>
      <c r="Y78">
        <v>0</v>
      </c>
    </row>
    <row r="79" spans="1:25" ht="12.75">
      <c r="A79" s="1072">
        <f t="shared" si="1"/>
        <v>2.6299999999999866</v>
      </c>
      <c r="B79" s="838" t="s">
        <v>1043</v>
      </c>
      <c r="C79" s="1041">
        <v>0</v>
      </c>
      <c r="D79" s="1041">
        <v>0</v>
      </c>
      <c r="E79" s="1041"/>
      <c r="F79" s="1041"/>
      <c r="G79" s="1041">
        <f t="shared" si="0"/>
        <v>0</v>
      </c>
      <c r="H79" s="1041"/>
      <c r="I79" s="1041">
        <v>0</v>
      </c>
      <c r="J79" s="1041">
        <v>0</v>
      </c>
      <c r="K79" s="1041">
        <v>0</v>
      </c>
      <c r="L79" s="1041">
        <v>0</v>
      </c>
      <c r="M79" s="838">
        <v>0</v>
      </c>
      <c r="N79" s="1439"/>
      <c r="O79" s="838">
        <v>0</v>
      </c>
      <c r="P79" s="838">
        <v>0</v>
      </c>
      <c r="Q79" s="838">
        <v>0</v>
      </c>
      <c r="R79" s="1041">
        <v>0</v>
      </c>
      <c r="S79">
        <v>0</v>
      </c>
      <c r="U79" s="838">
        <v>0</v>
      </c>
      <c r="V79" s="838">
        <v>0</v>
      </c>
      <c r="W79" s="838">
        <v>0</v>
      </c>
      <c r="X79" s="838">
        <v>0</v>
      </c>
      <c r="Y79">
        <v>0</v>
      </c>
    </row>
    <row r="80" spans="1:25" ht="12.75">
      <c r="A80" s="1072">
        <f t="shared" si="1"/>
        <v>2.6399999999999864</v>
      </c>
      <c r="B80" s="838" t="s">
        <v>1044</v>
      </c>
      <c r="C80" s="1041">
        <v>4193263.87</v>
      </c>
      <c r="D80" s="1041">
        <v>4173846.57</v>
      </c>
      <c r="E80" s="1041"/>
      <c r="F80" s="1041"/>
      <c r="G80" s="1041">
        <f t="shared" si="0"/>
        <v>4183555</v>
      </c>
      <c r="H80" s="1041"/>
      <c r="I80" s="1041">
        <v>0</v>
      </c>
      <c r="J80" s="1041">
        <v>4183555.2199999997</v>
      </c>
      <c r="K80" s="1041">
        <v>0</v>
      </c>
      <c r="L80" s="1041">
        <v>0</v>
      </c>
      <c r="M80" s="838">
        <v>0</v>
      </c>
      <c r="N80" s="1439"/>
      <c r="O80" s="838">
        <v>0</v>
      </c>
      <c r="P80" s="838">
        <v>4193263.87</v>
      </c>
      <c r="Q80" s="838">
        <v>0</v>
      </c>
      <c r="R80" s="1041">
        <v>0</v>
      </c>
      <c r="S80">
        <v>0</v>
      </c>
      <c r="U80" s="838">
        <v>0</v>
      </c>
      <c r="V80" s="838">
        <v>4173846.57</v>
      </c>
      <c r="W80" s="838">
        <v>0</v>
      </c>
      <c r="X80" s="838">
        <v>0</v>
      </c>
      <c r="Y80">
        <v>0</v>
      </c>
    </row>
    <row r="81" spans="1:25" ht="12.75">
      <c r="A81" s="1072">
        <f t="shared" si="1"/>
        <v>2.649999999999986</v>
      </c>
      <c r="B81" s="838" t="s">
        <v>1045</v>
      </c>
      <c r="C81" s="1041">
        <v>26882092.66</v>
      </c>
      <c r="D81" s="1041">
        <v>26804051.76</v>
      </c>
      <c r="E81" s="1041"/>
      <c r="F81" s="1041"/>
      <c r="G81" s="1041">
        <f aca="true" t="shared" si="2" ref="G81:G107">ROUND(SUM(C81:F81)/2,0)</f>
        <v>26843072</v>
      </c>
      <c r="H81" s="1041"/>
      <c r="I81" s="1041">
        <v>0</v>
      </c>
      <c r="J81" s="1041">
        <v>26843072.21</v>
      </c>
      <c r="K81" s="1041">
        <v>0</v>
      </c>
      <c r="L81" s="1041">
        <v>0</v>
      </c>
      <c r="M81" s="838">
        <v>0</v>
      </c>
      <c r="N81" s="1439"/>
      <c r="O81" s="838">
        <v>0</v>
      </c>
      <c r="P81" s="838">
        <v>26882092.66</v>
      </c>
      <c r="Q81" s="838">
        <v>0</v>
      </c>
      <c r="R81" s="1041">
        <v>0</v>
      </c>
      <c r="S81">
        <v>0</v>
      </c>
      <c r="U81" s="838">
        <v>0</v>
      </c>
      <c r="V81" s="838">
        <v>26804051.76</v>
      </c>
      <c r="W81" s="838">
        <v>0</v>
      </c>
      <c r="X81" s="838">
        <v>0</v>
      </c>
      <c r="Y81">
        <v>0</v>
      </c>
    </row>
    <row r="82" spans="1:25" ht="12.75">
      <c r="A82" s="1072">
        <f t="shared" si="1"/>
        <v>2.659999999999986</v>
      </c>
      <c r="B82" s="838" t="s">
        <v>1046</v>
      </c>
      <c r="C82" s="1041">
        <v>8955599.66</v>
      </c>
      <c r="D82" s="1041">
        <v>9079402.71</v>
      </c>
      <c r="E82" s="1041"/>
      <c r="F82" s="1041"/>
      <c r="G82" s="1041">
        <f t="shared" si="2"/>
        <v>9017501</v>
      </c>
      <c r="H82" s="1041"/>
      <c r="I82" s="1041">
        <v>0</v>
      </c>
      <c r="J82" s="1041">
        <v>9017501.185</v>
      </c>
      <c r="K82" s="1041">
        <v>0</v>
      </c>
      <c r="L82" s="1041">
        <v>0</v>
      </c>
      <c r="M82" s="838">
        <v>0</v>
      </c>
      <c r="N82" s="1439"/>
      <c r="O82" s="838">
        <v>0</v>
      </c>
      <c r="P82" s="838">
        <v>8955599.66</v>
      </c>
      <c r="Q82" s="838">
        <v>0</v>
      </c>
      <c r="R82" s="1041">
        <v>0</v>
      </c>
      <c r="S82">
        <v>0</v>
      </c>
      <c r="U82" s="838">
        <v>0</v>
      </c>
      <c r="V82" s="838">
        <v>9079402.71</v>
      </c>
      <c r="W82" s="838">
        <v>0</v>
      </c>
      <c r="X82" s="838">
        <v>0</v>
      </c>
      <c r="Y82">
        <v>0</v>
      </c>
    </row>
    <row r="83" spans="1:25" ht="12.75">
      <c r="A83" s="1072">
        <f aca="true" t="shared" si="3" ref="A83:A133">A82+0.01</f>
        <v>2.6699999999999857</v>
      </c>
      <c r="B83" s="838" t="s">
        <v>1047</v>
      </c>
      <c r="C83" s="1041">
        <v>-24467703</v>
      </c>
      <c r="D83" s="1041">
        <v>-24467703</v>
      </c>
      <c r="E83" s="1041"/>
      <c r="F83" s="1041"/>
      <c r="G83" s="1041">
        <f t="shared" si="2"/>
        <v>-24467703</v>
      </c>
      <c r="H83" s="1041"/>
      <c r="I83" s="1041">
        <v>0</v>
      </c>
      <c r="J83" s="1041">
        <v>-24467703</v>
      </c>
      <c r="K83" s="1041">
        <v>0</v>
      </c>
      <c r="L83" s="1041">
        <v>0</v>
      </c>
      <c r="M83" s="838">
        <v>0</v>
      </c>
      <c r="N83" s="1439"/>
      <c r="O83" s="838">
        <v>0</v>
      </c>
      <c r="P83" s="838">
        <v>-24467703</v>
      </c>
      <c r="Q83" s="838">
        <v>0</v>
      </c>
      <c r="R83" s="1041">
        <v>0</v>
      </c>
      <c r="S83">
        <v>0</v>
      </c>
      <c r="U83" s="838">
        <v>0</v>
      </c>
      <c r="V83" s="838">
        <v>-24467703</v>
      </c>
      <c r="W83" s="838">
        <v>0</v>
      </c>
      <c r="X83" s="838">
        <v>0</v>
      </c>
      <c r="Y83">
        <v>0</v>
      </c>
    </row>
    <row r="84" spans="1:25" ht="12.75">
      <c r="A84" s="1072">
        <f t="shared" si="3"/>
        <v>2.6799999999999855</v>
      </c>
      <c r="B84" s="838" t="s">
        <v>1048</v>
      </c>
      <c r="C84" s="1041">
        <v>0</v>
      </c>
      <c r="D84" s="1041">
        <v>0</v>
      </c>
      <c r="E84" s="1041"/>
      <c r="F84" s="1041"/>
      <c r="G84" s="1041">
        <f t="shared" si="2"/>
        <v>0</v>
      </c>
      <c r="H84" s="1041"/>
      <c r="I84" s="1041">
        <v>0</v>
      </c>
      <c r="J84" s="1041">
        <v>0</v>
      </c>
      <c r="K84" s="1041">
        <v>0</v>
      </c>
      <c r="L84" s="1041">
        <v>0</v>
      </c>
      <c r="M84" s="838">
        <v>0</v>
      </c>
      <c r="N84" s="1439"/>
      <c r="O84" s="838">
        <v>0</v>
      </c>
      <c r="P84" s="838">
        <v>0</v>
      </c>
      <c r="Q84" s="838">
        <v>0</v>
      </c>
      <c r="R84" s="1041">
        <v>0</v>
      </c>
      <c r="S84">
        <v>0</v>
      </c>
      <c r="U84" s="838">
        <v>0</v>
      </c>
      <c r="V84" s="838">
        <v>0</v>
      </c>
      <c r="W84" s="838">
        <v>0</v>
      </c>
      <c r="X84" s="838">
        <v>0</v>
      </c>
      <c r="Y84">
        <v>0</v>
      </c>
    </row>
    <row r="85" spans="1:25" ht="12.75">
      <c r="A85" s="1072">
        <f t="shared" si="3"/>
        <v>2.6899999999999853</v>
      </c>
      <c r="B85" s="838" t="s">
        <v>1049</v>
      </c>
      <c r="C85" s="1041">
        <v>14663722.23</v>
      </c>
      <c r="D85" s="1041">
        <v>14982304.48</v>
      </c>
      <c r="E85" s="1041"/>
      <c r="F85" s="1041"/>
      <c r="G85" s="1041">
        <f t="shared" si="2"/>
        <v>14823013</v>
      </c>
      <c r="H85" s="1041"/>
      <c r="I85" s="1041">
        <v>0</v>
      </c>
      <c r="J85" s="1041">
        <v>14823013.355</v>
      </c>
      <c r="K85" s="1041">
        <v>0</v>
      </c>
      <c r="L85" s="1041">
        <v>0</v>
      </c>
      <c r="M85" s="838">
        <v>0</v>
      </c>
      <c r="N85" s="1439"/>
      <c r="O85" s="838">
        <v>0</v>
      </c>
      <c r="P85" s="838">
        <v>14663722.23</v>
      </c>
      <c r="Q85" s="838">
        <v>0</v>
      </c>
      <c r="R85" s="1041">
        <v>0</v>
      </c>
      <c r="S85">
        <v>0</v>
      </c>
      <c r="U85" s="838">
        <v>0</v>
      </c>
      <c r="V85" s="838">
        <v>14982304.48</v>
      </c>
      <c r="W85" s="838">
        <v>0</v>
      </c>
      <c r="X85" s="838">
        <v>0</v>
      </c>
      <c r="Y85">
        <v>0</v>
      </c>
    </row>
    <row r="86" spans="1:25" ht="12.75">
      <c r="A86" s="1072">
        <f t="shared" si="3"/>
        <v>2.699999999999985</v>
      </c>
      <c r="B86" s="838" t="s">
        <v>1050</v>
      </c>
      <c r="C86" s="1041">
        <v>44957307.19</v>
      </c>
      <c r="D86" s="1041">
        <v>45117453.19</v>
      </c>
      <c r="E86" s="1041"/>
      <c r="F86" s="1041"/>
      <c r="G86" s="1041">
        <f t="shared" si="2"/>
        <v>45037380</v>
      </c>
      <c r="H86" s="1041"/>
      <c r="I86" s="1041">
        <v>0</v>
      </c>
      <c r="J86" s="1041">
        <v>45037380.19</v>
      </c>
      <c r="K86" s="1041">
        <v>0</v>
      </c>
      <c r="L86" s="1041">
        <v>0</v>
      </c>
      <c r="M86" s="838">
        <v>0</v>
      </c>
      <c r="N86" s="1439"/>
      <c r="O86" s="838">
        <v>0</v>
      </c>
      <c r="P86" s="838">
        <v>44957307.19</v>
      </c>
      <c r="Q86" s="838">
        <v>0</v>
      </c>
      <c r="R86" s="1041">
        <v>0</v>
      </c>
      <c r="S86">
        <v>0</v>
      </c>
      <c r="U86" s="838">
        <v>0</v>
      </c>
      <c r="V86" s="838">
        <v>45117453.19</v>
      </c>
      <c r="W86" s="838">
        <v>0</v>
      </c>
      <c r="X86" s="838">
        <v>0</v>
      </c>
      <c r="Y86">
        <v>0</v>
      </c>
    </row>
    <row r="87" spans="1:25" ht="12.75">
      <c r="A87" s="1072">
        <f t="shared" si="3"/>
        <v>2.709999999999985</v>
      </c>
      <c r="B87" s="838" t="s">
        <v>1051</v>
      </c>
      <c r="C87" s="1041">
        <v>8479317.38</v>
      </c>
      <c r="D87" s="1041">
        <v>8514407.68</v>
      </c>
      <c r="E87" s="1041"/>
      <c r="F87" s="1041"/>
      <c r="G87" s="1041">
        <f t="shared" si="2"/>
        <v>8496863</v>
      </c>
      <c r="H87" s="1041"/>
      <c r="I87" s="1041">
        <v>0</v>
      </c>
      <c r="J87" s="1041">
        <v>8496862.530000001</v>
      </c>
      <c r="K87" s="1041">
        <v>0</v>
      </c>
      <c r="L87" s="1041">
        <v>0</v>
      </c>
      <c r="M87" s="838">
        <v>0</v>
      </c>
      <c r="N87" s="1439"/>
      <c r="O87" s="838">
        <v>0</v>
      </c>
      <c r="P87" s="838">
        <v>8479317.38</v>
      </c>
      <c r="Q87" s="838">
        <v>0</v>
      </c>
      <c r="R87" s="1041">
        <v>0</v>
      </c>
      <c r="S87">
        <v>0</v>
      </c>
      <c r="U87" s="838">
        <v>0</v>
      </c>
      <c r="V87" s="838">
        <v>8514407.68</v>
      </c>
      <c r="W87" s="838">
        <v>0</v>
      </c>
      <c r="X87" s="838">
        <v>0</v>
      </c>
      <c r="Y87">
        <v>0</v>
      </c>
    </row>
    <row r="88" spans="1:25" ht="12.75">
      <c r="A88" s="1072">
        <f t="shared" si="3"/>
        <v>2.7199999999999847</v>
      </c>
      <c r="B88" s="838" t="s">
        <v>1052</v>
      </c>
      <c r="C88" s="1041">
        <v>-68726170.35</v>
      </c>
      <c r="D88" s="1041">
        <v>-69537205.32</v>
      </c>
      <c r="E88" s="1041"/>
      <c r="F88" s="1041"/>
      <c r="G88" s="1041">
        <f t="shared" si="2"/>
        <v>-69131688</v>
      </c>
      <c r="H88" s="1041"/>
      <c r="I88" s="1041">
        <v>0</v>
      </c>
      <c r="J88" s="1041">
        <v>-69131687.835</v>
      </c>
      <c r="K88" s="1041">
        <v>0</v>
      </c>
      <c r="L88" s="1041">
        <v>0</v>
      </c>
      <c r="M88" s="838">
        <v>0</v>
      </c>
      <c r="N88" s="1439"/>
      <c r="O88" s="838">
        <v>0</v>
      </c>
      <c r="P88" s="838">
        <v>-68726170.35</v>
      </c>
      <c r="Q88" s="838">
        <v>0</v>
      </c>
      <c r="R88" s="1041">
        <v>0</v>
      </c>
      <c r="S88">
        <v>0</v>
      </c>
      <c r="U88" s="838">
        <v>0</v>
      </c>
      <c r="V88" s="838">
        <v>-69537205.32</v>
      </c>
      <c r="W88" s="838">
        <v>0</v>
      </c>
      <c r="X88" s="838">
        <v>0</v>
      </c>
      <c r="Y88">
        <v>0</v>
      </c>
    </row>
    <row r="89" spans="1:25" ht="12.75">
      <c r="A89" s="1072">
        <f>A88+0.01</f>
        <v>2.7299999999999844</v>
      </c>
      <c r="B89" s="838" t="s">
        <v>1053</v>
      </c>
      <c r="C89" s="1041">
        <v>0</v>
      </c>
      <c r="D89" s="1041">
        <v>0</v>
      </c>
      <c r="E89" s="1041"/>
      <c r="F89" s="1041"/>
      <c r="G89" s="1041">
        <f t="shared" si="2"/>
        <v>0</v>
      </c>
      <c r="H89" s="1041"/>
      <c r="I89" s="1041">
        <v>0</v>
      </c>
      <c r="J89" s="1041">
        <v>0</v>
      </c>
      <c r="K89" s="1041">
        <v>0</v>
      </c>
      <c r="L89" s="1041">
        <v>0</v>
      </c>
      <c r="M89" s="838">
        <v>0</v>
      </c>
      <c r="N89" s="1439"/>
      <c r="O89" s="838">
        <v>0</v>
      </c>
      <c r="P89" s="838">
        <v>0</v>
      </c>
      <c r="Q89" s="838">
        <v>0</v>
      </c>
      <c r="R89" s="1041">
        <v>0</v>
      </c>
      <c r="S89">
        <v>0</v>
      </c>
      <c r="U89" s="838">
        <v>0</v>
      </c>
      <c r="V89" s="838">
        <v>0</v>
      </c>
      <c r="W89" s="838">
        <v>0</v>
      </c>
      <c r="X89" s="838">
        <v>0</v>
      </c>
      <c r="Y89">
        <v>0</v>
      </c>
    </row>
    <row r="90" spans="1:25" ht="12.75">
      <c r="A90" s="1072">
        <f t="shared" si="3"/>
        <v>2.7399999999999842</v>
      </c>
      <c r="B90" s="838" t="s">
        <v>1054</v>
      </c>
      <c r="C90" s="1041">
        <v>-18182333.88</v>
      </c>
      <c r="D90" s="1041">
        <v>-18182333.88</v>
      </c>
      <c r="E90" s="1041"/>
      <c r="F90" s="1041"/>
      <c r="G90" s="1041">
        <f t="shared" si="2"/>
        <v>-18182334</v>
      </c>
      <c r="H90" s="1041"/>
      <c r="I90" s="1041">
        <v>0</v>
      </c>
      <c r="J90" s="1041">
        <v>-18182333.88</v>
      </c>
      <c r="K90" s="1041">
        <v>0</v>
      </c>
      <c r="L90" s="1041">
        <v>0</v>
      </c>
      <c r="M90" s="838">
        <v>0</v>
      </c>
      <c r="N90" s="1439"/>
      <c r="O90" s="838">
        <v>0</v>
      </c>
      <c r="P90" s="838">
        <v>-18182333.88</v>
      </c>
      <c r="Q90" s="838">
        <v>0</v>
      </c>
      <c r="R90" s="1041">
        <v>0</v>
      </c>
      <c r="S90">
        <v>0</v>
      </c>
      <c r="U90" s="838">
        <v>0</v>
      </c>
      <c r="V90" s="838">
        <v>-18182333.88</v>
      </c>
      <c r="W90" s="838">
        <v>0</v>
      </c>
      <c r="X90" s="838">
        <v>0</v>
      </c>
      <c r="Y90">
        <v>0</v>
      </c>
    </row>
    <row r="91" spans="1:25" ht="12.75">
      <c r="A91" s="1072">
        <f t="shared" si="3"/>
        <v>2.749999999999984</v>
      </c>
      <c r="B91" s="838" t="s">
        <v>1055</v>
      </c>
      <c r="C91" s="1041">
        <v>-12927858.69</v>
      </c>
      <c r="D91" s="1041">
        <v>-12927858.69</v>
      </c>
      <c r="E91" s="1041"/>
      <c r="F91" s="1041"/>
      <c r="G91" s="1041">
        <f t="shared" si="2"/>
        <v>-12927859</v>
      </c>
      <c r="H91" s="1041"/>
      <c r="I91" s="1041">
        <v>0</v>
      </c>
      <c r="J91" s="1041">
        <v>-12927858.69</v>
      </c>
      <c r="K91" s="1041">
        <v>0</v>
      </c>
      <c r="L91" s="1041">
        <v>0</v>
      </c>
      <c r="M91" s="838">
        <v>0</v>
      </c>
      <c r="N91" s="1439"/>
      <c r="O91" s="838">
        <v>0</v>
      </c>
      <c r="P91" s="838">
        <v>-12927858.69</v>
      </c>
      <c r="Q91" s="838">
        <v>0</v>
      </c>
      <c r="R91" s="1041">
        <v>0</v>
      </c>
      <c r="S91">
        <v>0</v>
      </c>
      <c r="U91" s="838">
        <v>0</v>
      </c>
      <c r="V91" s="838">
        <v>-12927858.69</v>
      </c>
      <c r="W91" s="838">
        <v>0</v>
      </c>
      <c r="X91" s="838">
        <v>0</v>
      </c>
      <c r="Y91">
        <v>0</v>
      </c>
    </row>
    <row r="92" spans="1:25" ht="12.75">
      <c r="A92" s="1072">
        <f t="shared" si="3"/>
        <v>2.759999999999984</v>
      </c>
      <c r="B92" s="838" t="s">
        <v>1056</v>
      </c>
      <c r="C92" s="1041">
        <v>-1267193.65</v>
      </c>
      <c r="D92" s="1041">
        <v>-1267193.65</v>
      </c>
      <c r="E92" s="1041"/>
      <c r="F92" s="1041"/>
      <c r="G92" s="1041">
        <f t="shared" si="2"/>
        <v>-1267194</v>
      </c>
      <c r="H92" s="1041"/>
      <c r="I92" s="1041">
        <v>0</v>
      </c>
      <c r="J92" s="1041">
        <v>-1267193.65</v>
      </c>
      <c r="K92" s="1041">
        <v>0</v>
      </c>
      <c r="L92" s="1041">
        <v>0</v>
      </c>
      <c r="M92" s="838">
        <v>0</v>
      </c>
      <c r="N92" s="1439"/>
      <c r="O92" s="838">
        <v>0</v>
      </c>
      <c r="P92" s="838">
        <v>-1267193.65</v>
      </c>
      <c r="Q92" s="838">
        <v>0</v>
      </c>
      <c r="R92" s="1041">
        <v>0</v>
      </c>
      <c r="S92">
        <v>0</v>
      </c>
      <c r="U92" s="838">
        <v>0</v>
      </c>
      <c r="V92" s="838">
        <v>-1267193.65</v>
      </c>
      <c r="W92" s="838">
        <v>0</v>
      </c>
      <c r="X92" s="838">
        <v>0</v>
      </c>
      <c r="Y92">
        <v>0</v>
      </c>
    </row>
    <row r="93" spans="1:25" ht="12.75">
      <c r="A93" s="1072">
        <f t="shared" si="3"/>
        <v>2.7699999999999836</v>
      </c>
      <c r="B93" s="838" t="s">
        <v>1057</v>
      </c>
      <c r="C93" s="1041">
        <v>5854548.84</v>
      </c>
      <c r="D93" s="1041">
        <v>5854548.84</v>
      </c>
      <c r="E93" s="1041"/>
      <c r="F93" s="1041"/>
      <c r="G93" s="1041">
        <f t="shared" si="2"/>
        <v>5854549</v>
      </c>
      <c r="H93" s="1041"/>
      <c r="I93" s="1041">
        <v>0</v>
      </c>
      <c r="J93" s="1041">
        <v>5854548.84</v>
      </c>
      <c r="K93" s="1041">
        <v>0</v>
      </c>
      <c r="L93" s="1041">
        <v>0</v>
      </c>
      <c r="M93" s="838">
        <v>0</v>
      </c>
      <c r="N93" s="1439"/>
      <c r="O93" s="838">
        <v>0</v>
      </c>
      <c r="P93" s="838">
        <v>5854548.84</v>
      </c>
      <c r="Q93" s="838">
        <v>0</v>
      </c>
      <c r="R93" s="1041">
        <v>0</v>
      </c>
      <c r="S93">
        <v>0</v>
      </c>
      <c r="U93" s="838">
        <v>0</v>
      </c>
      <c r="V93" s="838">
        <v>5854548.84</v>
      </c>
      <c r="W93" s="838">
        <v>0</v>
      </c>
      <c r="X93" s="838">
        <v>0</v>
      </c>
      <c r="Y93">
        <v>0</v>
      </c>
    </row>
    <row r="94" spans="1:25" ht="12.75">
      <c r="A94" s="1072">
        <f t="shared" si="3"/>
        <v>2.7799999999999834</v>
      </c>
      <c r="B94" s="838" t="s">
        <v>1058</v>
      </c>
      <c r="C94" s="1041">
        <v>24252785.84</v>
      </c>
      <c r="D94" s="1041">
        <v>24252785.84</v>
      </c>
      <c r="E94" s="1041"/>
      <c r="F94" s="1041"/>
      <c r="G94" s="1041">
        <f t="shared" si="2"/>
        <v>24252786</v>
      </c>
      <c r="H94" s="1041"/>
      <c r="I94" s="1041">
        <v>0</v>
      </c>
      <c r="J94" s="1041">
        <v>24252785.84</v>
      </c>
      <c r="K94" s="1041">
        <v>0</v>
      </c>
      <c r="L94" s="1041">
        <v>0</v>
      </c>
      <c r="M94" s="838">
        <v>0</v>
      </c>
      <c r="N94" s="1439"/>
      <c r="O94" s="838">
        <v>0</v>
      </c>
      <c r="P94" s="838">
        <v>24252785.84</v>
      </c>
      <c r="Q94" s="838">
        <v>0</v>
      </c>
      <c r="R94" s="1041">
        <v>0</v>
      </c>
      <c r="S94">
        <v>0</v>
      </c>
      <c r="U94" s="838">
        <v>0</v>
      </c>
      <c r="V94" s="838">
        <v>24252785.84</v>
      </c>
      <c r="W94" s="838">
        <v>0</v>
      </c>
      <c r="X94" s="838">
        <v>0</v>
      </c>
      <c r="Y94">
        <v>0</v>
      </c>
    </row>
    <row r="95" spans="1:25" ht="12.75">
      <c r="A95" s="1072">
        <f t="shared" si="3"/>
        <v>2.789999999999983</v>
      </c>
      <c r="B95" s="838" t="s">
        <v>1059</v>
      </c>
      <c r="C95" s="1041">
        <v>1829300.04</v>
      </c>
      <c r="D95" s="1041">
        <v>1829300.04</v>
      </c>
      <c r="E95" s="1041"/>
      <c r="F95" s="1041"/>
      <c r="G95" s="1041">
        <f t="shared" si="2"/>
        <v>1829300</v>
      </c>
      <c r="H95" s="1041"/>
      <c r="I95" s="1041">
        <v>0</v>
      </c>
      <c r="J95" s="1041">
        <v>1829300.04</v>
      </c>
      <c r="K95" s="1041">
        <v>0</v>
      </c>
      <c r="L95" s="1041">
        <v>0</v>
      </c>
      <c r="M95" s="838">
        <v>0</v>
      </c>
      <c r="N95" s="1439"/>
      <c r="O95" s="838">
        <v>0</v>
      </c>
      <c r="P95" s="838">
        <v>1829300.04</v>
      </c>
      <c r="Q95" s="838">
        <v>0</v>
      </c>
      <c r="R95" s="1041">
        <v>0</v>
      </c>
      <c r="S95">
        <v>0</v>
      </c>
      <c r="U95" s="838">
        <v>0</v>
      </c>
      <c r="V95" s="838">
        <v>1829300.04</v>
      </c>
      <c r="W95" s="838">
        <v>0</v>
      </c>
      <c r="X95" s="838">
        <v>0</v>
      </c>
      <c r="Y95">
        <v>0</v>
      </c>
    </row>
    <row r="96" spans="1:25" ht="12.75">
      <c r="A96" s="1072">
        <f t="shared" si="3"/>
        <v>2.799999999999983</v>
      </c>
      <c r="B96" s="838" t="s">
        <v>1060</v>
      </c>
      <c r="C96" s="1439">
        <v>4044.3</v>
      </c>
      <c r="D96" s="1439">
        <v>3445.13</v>
      </c>
      <c r="E96" s="1041"/>
      <c r="F96" s="1041"/>
      <c r="G96" s="1041">
        <f t="shared" si="2"/>
        <v>3745</v>
      </c>
      <c r="H96" s="1041"/>
      <c r="I96" s="1041">
        <v>121.05000000000001</v>
      </c>
      <c r="J96" s="1041">
        <v>1992.39</v>
      </c>
      <c r="K96" s="1041">
        <v>796.655</v>
      </c>
      <c r="L96" s="1041">
        <v>834.62</v>
      </c>
      <c r="M96" s="1041">
        <v>0</v>
      </c>
      <c r="N96" s="1438"/>
      <c r="O96" s="1041">
        <v>130.71</v>
      </c>
      <c r="P96" s="1041">
        <v>2151.76</v>
      </c>
      <c r="Q96" s="1041">
        <v>860.41</v>
      </c>
      <c r="R96" s="1041">
        <v>901.42</v>
      </c>
      <c r="S96">
        <v>0</v>
      </c>
      <c r="U96" s="1041">
        <v>111.39</v>
      </c>
      <c r="V96" s="1041">
        <v>1833.02</v>
      </c>
      <c r="W96" s="1041">
        <v>732.9</v>
      </c>
      <c r="X96" s="838">
        <v>767.82</v>
      </c>
      <c r="Y96">
        <v>0</v>
      </c>
    </row>
    <row r="97" spans="1:25" ht="12.75">
      <c r="A97" s="1072">
        <f t="shared" si="3"/>
        <v>2.8099999999999827</v>
      </c>
      <c r="B97" s="838" t="s">
        <v>1061</v>
      </c>
      <c r="C97" s="1439">
        <v>-11220557.280000001</v>
      </c>
      <c r="D97" s="1439">
        <v>-13494687.899999999</v>
      </c>
      <c r="E97" s="1041"/>
      <c r="F97" s="1041"/>
      <c r="G97" s="1041">
        <f t="shared" si="2"/>
        <v>-12357623</v>
      </c>
      <c r="H97" s="1041"/>
      <c r="I97" s="1041">
        <v>-2987947.46</v>
      </c>
      <c r="J97" s="1041">
        <v>-4671818.915</v>
      </c>
      <c r="K97" s="1041">
        <v>-591020.615</v>
      </c>
      <c r="L97" s="1041">
        <v>-4106835.6</v>
      </c>
      <c r="M97" s="1041">
        <v>0</v>
      </c>
      <c r="N97" s="1438"/>
      <c r="O97" s="1041">
        <v>-2674103.35</v>
      </c>
      <c r="P97" s="1041">
        <v>-4194402.22</v>
      </c>
      <c r="Q97" s="1041">
        <v>-543371.87</v>
      </c>
      <c r="R97" s="1041">
        <v>-3808679.84</v>
      </c>
      <c r="S97">
        <v>0</v>
      </c>
      <c r="U97" s="1041">
        <v>-3301791.57</v>
      </c>
      <c r="V97" s="1041">
        <v>-5149235.61</v>
      </c>
      <c r="W97" s="1041">
        <v>-638669.36</v>
      </c>
      <c r="X97" s="838">
        <v>-4404991.36</v>
      </c>
      <c r="Y97">
        <v>0</v>
      </c>
    </row>
    <row r="98" spans="1:25" ht="12.75">
      <c r="A98" s="1072">
        <f t="shared" si="3"/>
        <v>2.8199999999999825</v>
      </c>
      <c r="B98" s="838" t="s">
        <v>1062</v>
      </c>
      <c r="C98" s="1439">
        <v>4798425.09</v>
      </c>
      <c r="D98" s="1439">
        <v>-4897681.96</v>
      </c>
      <c r="E98" s="1041"/>
      <c r="F98" s="1041"/>
      <c r="G98" s="1041">
        <f t="shared" si="2"/>
        <v>-49628</v>
      </c>
      <c r="H98" s="1041"/>
      <c r="I98" s="1041">
        <v>87527.47499999998</v>
      </c>
      <c r="J98" s="1041">
        <v>151651.66500000004</v>
      </c>
      <c r="K98" s="1041">
        <v>30276.400000000023</v>
      </c>
      <c r="L98" s="1041">
        <v>-319083.975</v>
      </c>
      <c r="M98" s="1041">
        <v>0</v>
      </c>
      <c r="N98" s="1438"/>
      <c r="O98" s="1041">
        <v>1131576.95</v>
      </c>
      <c r="P98" s="1041">
        <v>1920033.49</v>
      </c>
      <c r="Q98" s="1041">
        <v>366573.9</v>
      </c>
      <c r="R98" s="1041">
        <v>1380240.75</v>
      </c>
      <c r="S98">
        <v>0</v>
      </c>
      <c r="U98" s="1041">
        <v>-956522</v>
      </c>
      <c r="V98" s="1041">
        <v>-1616730.16</v>
      </c>
      <c r="W98" s="1041">
        <v>-306021.1</v>
      </c>
      <c r="X98" s="838">
        <v>-2018408.7</v>
      </c>
      <c r="Y98">
        <v>0</v>
      </c>
    </row>
    <row r="99" spans="1:25" ht="12.75">
      <c r="A99" s="1072">
        <f t="shared" si="3"/>
        <v>2.8299999999999823</v>
      </c>
      <c r="B99" s="838" t="s">
        <v>1063</v>
      </c>
      <c r="C99" s="1439">
        <v>2486092.4699999997</v>
      </c>
      <c r="D99" s="1439">
        <v>2293506.66</v>
      </c>
      <c r="E99" s="1041"/>
      <c r="F99" s="1041"/>
      <c r="G99" s="1041">
        <f t="shared" si="2"/>
        <v>2389800</v>
      </c>
      <c r="H99" s="1041"/>
      <c r="I99" s="1041">
        <v>538238.79</v>
      </c>
      <c r="J99" s="1041">
        <v>1124298.995</v>
      </c>
      <c r="K99" s="1041">
        <v>189451.315</v>
      </c>
      <c r="L99" s="1041">
        <v>537810.465</v>
      </c>
      <c r="M99" s="1041">
        <v>0</v>
      </c>
      <c r="N99" s="1438"/>
      <c r="O99" s="1041">
        <v>504855.91</v>
      </c>
      <c r="P99" s="1041">
        <v>1132363.33</v>
      </c>
      <c r="Q99" s="1041">
        <v>213204.16</v>
      </c>
      <c r="R99" s="1041">
        <v>635669.07</v>
      </c>
      <c r="S99">
        <v>0</v>
      </c>
      <c r="U99" s="1041">
        <v>571621.67</v>
      </c>
      <c r="V99" s="1041">
        <v>1116234.66</v>
      </c>
      <c r="W99" s="1041">
        <v>165698.47</v>
      </c>
      <c r="X99" s="838">
        <v>439951.86</v>
      </c>
      <c r="Y99">
        <v>0</v>
      </c>
    </row>
    <row r="100" spans="1:25" ht="12.75">
      <c r="A100" s="1072">
        <f t="shared" si="3"/>
        <v>2.839999999999982</v>
      </c>
      <c r="B100" s="838" t="s">
        <v>1064</v>
      </c>
      <c r="C100" s="1439">
        <v>0</v>
      </c>
      <c r="D100" s="1439">
        <v>0</v>
      </c>
      <c r="E100" s="1041"/>
      <c r="F100" s="1041"/>
      <c r="G100" s="1041">
        <f t="shared" si="2"/>
        <v>0</v>
      </c>
      <c r="H100" s="1041"/>
      <c r="I100" s="1041">
        <v>0</v>
      </c>
      <c r="J100" s="1041">
        <v>0</v>
      </c>
      <c r="K100" s="1041">
        <v>0</v>
      </c>
      <c r="L100" s="1041">
        <v>0</v>
      </c>
      <c r="M100" s="1041">
        <v>0</v>
      </c>
      <c r="N100" s="1438"/>
      <c r="O100" s="1041">
        <v>0</v>
      </c>
      <c r="P100" s="1041">
        <v>0</v>
      </c>
      <c r="Q100" s="1041">
        <v>0</v>
      </c>
      <c r="R100" s="1041">
        <v>0</v>
      </c>
      <c r="S100">
        <v>0</v>
      </c>
      <c r="U100" s="1041">
        <v>0</v>
      </c>
      <c r="V100" s="1041">
        <v>0</v>
      </c>
      <c r="W100" s="1041">
        <v>0</v>
      </c>
      <c r="X100" s="838">
        <v>0</v>
      </c>
      <c r="Y100">
        <v>0</v>
      </c>
    </row>
    <row r="101" spans="1:25" ht="12.75">
      <c r="A101" s="1072">
        <f t="shared" si="3"/>
        <v>2.849999999999982</v>
      </c>
      <c r="B101" s="838" t="s">
        <v>1065</v>
      </c>
      <c r="C101" s="1440">
        <v>440327521.48</v>
      </c>
      <c r="D101" s="1440">
        <v>462620992.5</v>
      </c>
      <c r="E101" s="1046"/>
      <c r="F101" s="1046"/>
      <c r="G101" s="1046">
        <f t="shared" si="2"/>
        <v>451474257</v>
      </c>
      <c r="H101" s="1046"/>
      <c r="I101" s="1046">
        <v>4615162.05</v>
      </c>
      <c r="J101" s="1046">
        <v>446715746.655</v>
      </c>
      <c r="K101" s="1046">
        <v>0</v>
      </c>
      <c r="L101" s="1046">
        <v>143348.285</v>
      </c>
      <c r="M101" s="1046">
        <v>0</v>
      </c>
      <c r="N101" s="1046"/>
      <c r="O101" s="1046">
        <v>3120522.93</v>
      </c>
      <c r="P101" s="1046">
        <v>437045383.42</v>
      </c>
      <c r="Q101" s="1046">
        <v>0</v>
      </c>
      <c r="R101" s="1046">
        <v>161615.13</v>
      </c>
      <c r="S101" s="1443">
        <v>0</v>
      </c>
      <c r="T101" s="1443"/>
      <c r="U101" s="1046">
        <v>6109801.17</v>
      </c>
      <c r="V101" s="1046">
        <v>456386109.89</v>
      </c>
      <c r="W101" s="1046">
        <v>0</v>
      </c>
      <c r="X101" s="1440">
        <v>125081.44</v>
      </c>
      <c r="Y101" s="1443">
        <v>0</v>
      </c>
    </row>
    <row r="102" spans="1:25" ht="12.75">
      <c r="A102" s="1072">
        <f t="shared" si="3"/>
        <v>2.8599999999999817</v>
      </c>
      <c r="B102" s="838" t="s">
        <v>1066</v>
      </c>
      <c r="C102" s="1439">
        <v>83763.76</v>
      </c>
      <c r="D102" s="1439">
        <v>83763.76</v>
      </c>
      <c r="E102" s="1041"/>
      <c r="F102" s="1041"/>
      <c r="G102" s="1041">
        <f t="shared" si="2"/>
        <v>83764</v>
      </c>
      <c r="H102" s="1041"/>
      <c r="I102" s="1041">
        <v>83763.76</v>
      </c>
      <c r="J102" s="1041">
        <v>0</v>
      </c>
      <c r="K102" s="1041">
        <v>0</v>
      </c>
      <c r="L102" s="1041">
        <v>0</v>
      </c>
      <c r="M102" s="1041">
        <v>0</v>
      </c>
      <c r="N102" s="1438"/>
      <c r="O102" s="1041">
        <v>83763.76</v>
      </c>
      <c r="P102" s="1041">
        <v>0</v>
      </c>
      <c r="Q102" s="1041">
        <v>0</v>
      </c>
      <c r="R102" s="1041">
        <v>0</v>
      </c>
      <c r="S102">
        <v>0</v>
      </c>
      <c r="U102" s="1041">
        <v>83763.76</v>
      </c>
      <c r="V102" s="1041">
        <v>0</v>
      </c>
      <c r="W102" s="1041">
        <v>0</v>
      </c>
      <c r="X102" s="838">
        <v>0</v>
      </c>
      <c r="Y102">
        <v>0</v>
      </c>
    </row>
    <row r="103" spans="1:25" ht="12.75">
      <c r="A103" s="1072">
        <f t="shared" si="3"/>
        <v>2.8699999999999815</v>
      </c>
      <c r="B103" s="838" t="s">
        <v>1067</v>
      </c>
      <c r="C103" s="1439">
        <v>2381904</v>
      </c>
      <c r="D103" s="1439">
        <v>1984920</v>
      </c>
      <c r="E103" s="1041"/>
      <c r="F103" s="1041"/>
      <c r="G103" s="1041">
        <f t="shared" si="2"/>
        <v>2183412</v>
      </c>
      <c r="H103" s="1041"/>
      <c r="I103" s="1041">
        <v>2183412</v>
      </c>
      <c r="J103" s="1041">
        <v>0</v>
      </c>
      <c r="K103" s="1041">
        <v>0</v>
      </c>
      <c r="L103" s="1041">
        <v>0</v>
      </c>
      <c r="M103" s="1041">
        <v>0</v>
      </c>
      <c r="N103" s="1438"/>
      <c r="O103" s="1041">
        <v>2381904</v>
      </c>
      <c r="P103" s="1041">
        <v>0</v>
      </c>
      <c r="Q103" s="1041">
        <v>0</v>
      </c>
      <c r="R103" s="1041">
        <v>0</v>
      </c>
      <c r="S103">
        <v>0</v>
      </c>
      <c r="U103" s="1041">
        <v>1984920</v>
      </c>
      <c r="V103" s="1041">
        <v>0</v>
      </c>
      <c r="W103" s="1041">
        <v>0</v>
      </c>
      <c r="X103" s="838">
        <v>0</v>
      </c>
      <c r="Y103">
        <v>0</v>
      </c>
    </row>
    <row r="104" spans="1:25" ht="12.75">
      <c r="A104" s="1072">
        <f t="shared" si="3"/>
        <v>2.8799999999999812</v>
      </c>
      <c r="B104" s="838" t="s">
        <v>1068</v>
      </c>
      <c r="C104" s="1439">
        <v>-201014.75</v>
      </c>
      <c r="D104" s="1439">
        <v>-201014.75</v>
      </c>
      <c r="E104" s="1041"/>
      <c r="F104" s="1041"/>
      <c r="G104" s="1041">
        <f t="shared" si="2"/>
        <v>-201015</v>
      </c>
      <c r="H104" s="1041"/>
      <c r="I104" s="1041">
        <v>-201014.75</v>
      </c>
      <c r="J104" s="1041">
        <v>0</v>
      </c>
      <c r="K104" s="1041">
        <v>0</v>
      </c>
      <c r="L104" s="1041">
        <v>0</v>
      </c>
      <c r="M104" s="1041">
        <v>0</v>
      </c>
      <c r="N104" s="1438"/>
      <c r="O104" s="1041">
        <v>-201014.75</v>
      </c>
      <c r="P104" s="1041">
        <v>0</v>
      </c>
      <c r="Q104" s="1041">
        <v>0</v>
      </c>
      <c r="R104" s="1041">
        <v>0</v>
      </c>
      <c r="S104">
        <v>0</v>
      </c>
      <c r="U104" s="1041">
        <v>-201014.75</v>
      </c>
      <c r="V104" s="1041">
        <v>0</v>
      </c>
      <c r="W104" s="1041">
        <v>0</v>
      </c>
      <c r="X104" s="838">
        <v>0</v>
      </c>
      <c r="Y104">
        <v>0</v>
      </c>
    </row>
    <row r="105" spans="1:25" ht="12.75">
      <c r="A105" s="1072">
        <f t="shared" si="3"/>
        <v>2.889999999999981</v>
      </c>
      <c r="B105" s="838" t="s">
        <v>1069</v>
      </c>
      <c r="C105" s="1439">
        <v>0</v>
      </c>
      <c r="D105" s="1439">
        <v>0</v>
      </c>
      <c r="E105" s="1041"/>
      <c r="F105" s="1041"/>
      <c r="G105" s="1041">
        <f t="shared" si="2"/>
        <v>0</v>
      </c>
      <c r="H105" s="1041"/>
      <c r="I105" s="1041">
        <v>0</v>
      </c>
      <c r="J105" s="1041">
        <v>0</v>
      </c>
      <c r="K105" s="1041">
        <v>0</v>
      </c>
      <c r="L105" s="1041">
        <v>0</v>
      </c>
      <c r="M105" s="1041">
        <v>0</v>
      </c>
      <c r="N105" s="1438"/>
      <c r="O105" s="1041">
        <v>0</v>
      </c>
      <c r="P105" s="1041">
        <v>0</v>
      </c>
      <c r="Q105" s="1041">
        <v>0</v>
      </c>
      <c r="R105" s="1041">
        <v>0</v>
      </c>
      <c r="S105">
        <v>0</v>
      </c>
      <c r="U105" s="1041">
        <v>0</v>
      </c>
      <c r="V105" s="1041">
        <v>0</v>
      </c>
      <c r="W105" s="1041">
        <v>0</v>
      </c>
      <c r="X105" s="838">
        <v>0</v>
      </c>
      <c r="Y105">
        <v>0</v>
      </c>
    </row>
    <row r="106" spans="1:25" ht="12.75">
      <c r="A106" s="1072">
        <f t="shared" si="3"/>
        <v>2.899999999999981</v>
      </c>
      <c r="B106" s="838" t="s">
        <v>1070</v>
      </c>
      <c r="C106" s="1439">
        <v>1397789.0100000002</v>
      </c>
      <c r="D106" s="1439">
        <v>1707778.2</v>
      </c>
      <c r="E106" s="1041"/>
      <c r="F106" s="1041"/>
      <c r="G106" s="1041">
        <f t="shared" si="2"/>
        <v>1552784</v>
      </c>
      <c r="H106" s="1041"/>
      <c r="I106" s="1041">
        <v>7676.264999999999</v>
      </c>
      <c r="J106" s="1041">
        <v>190546.33500000002</v>
      </c>
      <c r="K106" s="1041">
        <v>2744.5899999999965</v>
      </c>
      <c r="L106" s="1041">
        <v>1351816.415</v>
      </c>
      <c r="M106" s="1041">
        <v>0</v>
      </c>
      <c r="N106" s="1438"/>
      <c r="O106" s="1041">
        <v>7676.0899999999965</v>
      </c>
      <c r="P106" s="1041">
        <v>246801.94</v>
      </c>
      <c r="Q106" s="1041">
        <v>2744.5899999999965</v>
      </c>
      <c r="R106" s="1041">
        <v>1140566.3900000001</v>
      </c>
      <c r="S106">
        <v>0</v>
      </c>
      <c r="U106" s="1041">
        <v>7676.440000000002</v>
      </c>
      <c r="V106" s="1041">
        <v>134290.73</v>
      </c>
      <c r="W106" s="1041">
        <v>2744.5899999999965</v>
      </c>
      <c r="X106" s="838">
        <v>1563066.44</v>
      </c>
      <c r="Y106">
        <v>0</v>
      </c>
    </row>
    <row r="107" spans="1:25" ht="12.75">
      <c r="A107" s="1072">
        <f t="shared" si="3"/>
        <v>2.9099999999999806</v>
      </c>
      <c r="B107" s="838" t="s">
        <v>1071</v>
      </c>
      <c r="C107" s="1041">
        <v>-197935.15</v>
      </c>
      <c r="D107" s="1041">
        <v>-25273.5</v>
      </c>
      <c r="E107" s="1041"/>
      <c r="F107" s="1041"/>
      <c r="G107" s="1041">
        <f t="shared" si="2"/>
        <v>-111604</v>
      </c>
      <c r="H107" s="1041"/>
      <c r="I107" s="1041">
        <v>-27846.525</v>
      </c>
      <c r="J107" s="1041">
        <v>-103602.625</v>
      </c>
      <c r="K107" s="1041">
        <v>3341.975</v>
      </c>
      <c r="L107" s="1041">
        <v>16502.85</v>
      </c>
      <c r="M107" s="1043">
        <v>0</v>
      </c>
      <c r="N107" s="1438"/>
      <c r="O107" s="1043">
        <v>-34033.3</v>
      </c>
      <c r="P107" s="1043">
        <v>-183824.9</v>
      </c>
      <c r="Q107" s="1043">
        <v>3348.45</v>
      </c>
      <c r="R107" s="1041">
        <v>16574.6</v>
      </c>
      <c r="S107">
        <v>0</v>
      </c>
      <c r="U107" s="1043">
        <v>-21659.75</v>
      </c>
      <c r="V107" s="1043">
        <v>-23380.35</v>
      </c>
      <c r="W107" s="1043">
        <v>3335.5</v>
      </c>
      <c r="X107" s="838">
        <v>16431.1</v>
      </c>
      <c r="Y107">
        <v>0</v>
      </c>
    </row>
    <row r="108" spans="1:25" ht="12.75">
      <c r="A108" s="1072">
        <f t="shared" si="3"/>
        <v>2.9199999999999804</v>
      </c>
      <c r="B108" s="838" t="s">
        <v>1072</v>
      </c>
      <c r="C108" s="1041">
        <v>4725000</v>
      </c>
      <c r="D108" s="1041">
        <v>4725000</v>
      </c>
      <c r="E108" s="1041"/>
      <c r="F108" s="1041"/>
      <c r="G108" s="1041"/>
      <c r="H108" s="1041"/>
      <c r="I108" s="1041">
        <v>4725000</v>
      </c>
      <c r="J108" s="1041">
        <v>0</v>
      </c>
      <c r="K108" s="1041">
        <v>0</v>
      </c>
      <c r="L108" s="1041">
        <v>0</v>
      </c>
      <c r="M108" s="1043">
        <v>0</v>
      </c>
      <c r="N108" s="1438"/>
      <c r="O108" s="1043">
        <v>4725000</v>
      </c>
      <c r="P108" s="1043">
        <v>0</v>
      </c>
      <c r="Q108" s="1043">
        <v>0</v>
      </c>
      <c r="R108" s="1041">
        <v>0</v>
      </c>
      <c r="S108">
        <v>0</v>
      </c>
      <c r="U108" s="1043">
        <v>4725000</v>
      </c>
      <c r="V108" s="1043">
        <v>0</v>
      </c>
      <c r="W108" s="1043">
        <v>0</v>
      </c>
      <c r="X108" s="838">
        <v>0</v>
      </c>
      <c r="Y108">
        <v>0</v>
      </c>
    </row>
    <row r="109" spans="1:25" ht="12.75">
      <c r="A109" s="1072">
        <f t="shared" si="3"/>
        <v>2.92999999999998</v>
      </c>
      <c r="B109" s="838" t="s">
        <v>1073</v>
      </c>
      <c r="C109" s="1041">
        <v>0</v>
      </c>
      <c r="D109" s="1041">
        <v>0</v>
      </c>
      <c r="E109" s="1041"/>
      <c r="F109" s="1041"/>
      <c r="G109" s="1041"/>
      <c r="H109" s="1041"/>
      <c r="I109" s="1041">
        <v>0</v>
      </c>
      <c r="J109" s="1041">
        <v>0</v>
      </c>
      <c r="K109" s="1041">
        <v>0</v>
      </c>
      <c r="L109" s="1041">
        <v>0</v>
      </c>
      <c r="M109" s="1043">
        <v>0</v>
      </c>
      <c r="N109" s="1438"/>
      <c r="O109" s="1043">
        <v>0</v>
      </c>
      <c r="P109" s="1043">
        <v>0</v>
      </c>
      <c r="Q109" s="1043">
        <v>0</v>
      </c>
      <c r="R109" s="1041">
        <v>0</v>
      </c>
      <c r="S109">
        <v>0</v>
      </c>
      <c r="U109" s="1043">
        <v>0</v>
      </c>
      <c r="V109" s="1043">
        <v>0</v>
      </c>
      <c r="W109" s="1043">
        <v>0</v>
      </c>
      <c r="X109" s="838">
        <v>0</v>
      </c>
      <c r="Y109">
        <v>0</v>
      </c>
    </row>
    <row r="110" spans="1:25" ht="12.75">
      <c r="A110" s="1072">
        <f t="shared" si="3"/>
        <v>2.93999999999998</v>
      </c>
      <c r="B110" s="838" t="s">
        <v>1074</v>
      </c>
      <c r="C110" s="1041">
        <v>0</v>
      </c>
      <c r="D110" s="1041">
        <v>0</v>
      </c>
      <c r="E110" s="1041"/>
      <c r="F110" s="1041"/>
      <c r="G110" s="1041"/>
      <c r="H110" s="1041"/>
      <c r="I110" s="1041">
        <v>0</v>
      </c>
      <c r="J110" s="1041">
        <v>0</v>
      </c>
      <c r="K110" s="1041">
        <v>0</v>
      </c>
      <c r="L110" s="1041">
        <v>0</v>
      </c>
      <c r="M110" s="1043">
        <v>0</v>
      </c>
      <c r="N110" s="1438"/>
      <c r="O110" s="1043">
        <v>0</v>
      </c>
      <c r="P110" s="1043">
        <v>0</v>
      </c>
      <c r="Q110" s="1043">
        <v>0</v>
      </c>
      <c r="R110" s="1041">
        <v>0</v>
      </c>
      <c r="S110">
        <v>0</v>
      </c>
      <c r="U110" s="1043">
        <v>0</v>
      </c>
      <c r="V110" s="1043">
        <v>0</v>
      </c>
      <c r="W110" s="1043">
        <v>0</v>
      </c>
      <c r="X110" s="838">
        <v>0</v>
      </c>
      <c r="Y110">
        <v>0</v>
      </c>
    </row>
    <row r="111" spans="1:25" ht="12.75">
      <c r="A111" s="1072">
        <f t="shared" si="3"/>
        <v>2.9499999999999797</v>
      </c>
      <c r="B111" s="838" t="s">
        <v>1075</v>
      </c>
      <c r="C111" s="1041">
        <v>0</v>
      </c>
      <c r="D111" s="1041">
        <v>0</v>
      </c>
      <c r="E111" s="1041"/>
      <c r="F111" s="1041"/>
      <c r="G111" s="1041"/>
      <c r="H111" s="1041"/>
      <c r="I111" s="1041">
        <v>0</v>
      </c>
      <c r="J111" s="1041">
        <v>0</v>
      </c>
      <c r="K111" s="1041">
        <v>0</v>
      </c>
      <c r="L111" s="1041">
        <v>0</v>
      </c>
      <c r="M111" s="1043">
        <v>0</v>
      </c>
      <c r="N111" s="1438"/>
      <c r="O111" s="1043">
        <v>0</v>
      </c>
      <c r="P111" s="1043">
        <v>0</v>
      </c>
      <c r="Q111" s="1043">
        <v>0</v>
      </c>
      <c r="R111" s="1041">
        <v>0</v>
      </c>
      <c r="S111">
        <v>0</v>
      </c>
      <c r="U111" s="1043">
        <v>0</v>
      </c>
      <c r="V111" s="1043">
        <v>0</v>
      </c>
      <c r="W111" s="1043">
        <v>0</v>
      </c>
      <c r="X111" s="838">
        <v>0</v>
      </c>
      <c r="Y111">
        <v>0</v>
      </c>
    </row>
    <row r="112" spans="1:25" ht="12.75">
      <c r="A112" s="1072">
        <f t="shared" si="3"/>
        <v>2.9599999999999795</v>
      </c>
      <c r="B112" s="838" t="s">
        <v>1076</v>
      </c>
      <c r="C112" s="1041">
        <v>0</v>
      </c>
      <c r="D112" s="1041">
        <v>0</v>
      </c>
      <c r="E112" s="1041"/>
      <c r="F112" s="1041"/>
      <c r="G112" s="1041"/>
      <c r="H112" s="1041"/>
      <c r="I112" s="1041">
        <v>0</v>
      </c>
      <c r="J112" s="1041">
        <v>0</v>
      </c>
      <c r="K112" s="1041">
        <v>0</v>
      </c>
      <c r="L112" s="1041">
        <v>0</v>
      </c>
      <c r="M112" s="1043">
        <v>0</v>
      </c>
      <c r="N112" s="1438"/>
      <c r="O112" s="1043">
        <v>0</v>
      </c>
      <c r="P112" s="1043">
        <v>0</v>
      </c>
      <c r="Q112" s="1043">
        <v>0</v>
      </c>
      <c r="R112" s="1041">
        <v>0</v>
      </c>
      <c r="S112">
        <v>0</v>
      </c>
      <c r="U112" s="1043">
        <v>0</v>
      </c>
      <c r="V112" s="1043">
        <v>0</v>
      </c>
      <c r="W112" s="1043">
        <v>0</v>
      </c>
      <c r="X112" s="838">
        <v>0</v>
      </c>
      <c r="Y112">
        <v>0</v>
      </c>
    </row>
    <row r="113" spans="1:25" ht="12.75">
      <c r="A113" s="1072">
        <f t="shared" si="3"/>
        <v>2.9699999999999793</v>
      </c>
      <c r="B113" s="838" t="s">
        <v>1077</v>
      </c>
      <c r="C113" s="1041">
        <v>-407875.23</v>
      </c>
      <c r="D113" s="1041">
        <v>-407875.23</v>
      </c>
      <c r="E113" s="1041"/>
      <c r="F113" s="1041"/>
      <c r="G113" s="1041"/>
      <c r="H113" s="1041"/>
      <c r="I113" s="1041">
        <v>0</v>
      </c>
      <c r="J113" s="1041">
        <v>0</v>
      </c>
      <c r="K113" s="1041">
        <v>0</v>
      </c>
      <c r="L113" s="1041">
        <v>-407875.23</v>
      </c>
      <c r="M113" s="1043">
        <v>0</v>
      </c>
      <c r="N113" s="1438"/>
      <c r="O113" s="1043">
        <v>0</v>
      </c>
      <c r="P113" s="1043">
        <v>0</v>
      </c>
      <c r="Q113" s="1043">
        <v>0</v>
      </c>
      <c r="R113" s="1041">
        <v>-407875.23</v>
      </c>
      <c r="S113">
        <v>0</v>
      </c>
      <c r="U113" s="1043">
        <v>0</v>
      </c>
      <c r="V113" s="1043">
        <v>0</v>
      </c>
      <c r="W113" s="1043">
        <v>0</v>
      </c>
      <c r="X113" s="838">
        <v>-407875.23</v>
      </c>
      <c r="Y113">
        <v>0</v>
      </c>
    </row>
    <row r="114" spans="1:25" ht="12.75">
      <c r="A114" s="1072">
        <f t="shared" si="3"/>
        <v>2.979999999999979</v>
      </c>
      <c r="B114" s="838" t="s">
        <v>1078</v>
      </c>
      <c r="C114" s="1041">
        <v>0</v>
      </c>
      <c r="D114" s="1041">
        <v>0</v>
      </c>
      <c r="E114" s="1041"/>
      <c r="F114" s="1041"/>
      <c r="G114" s="1041"/>
      <c r="H114" s="1041"/>
      <c r="I114" s="1041">
        <v>0</v>
      </c>
      <c r="J114" s="1041">
        <v>0</v>
      </c>
      <c r="K114" s="1041">
        <v>0</v>
      </c>
      <c r="L114" s="1041">
        <v>0</v>
      </c>
      <c r="M114" s="1043">
        <v>0</v>
      </c>
      <c r="N114" s="1438"/>
      <c r="O114" s="1043">
        <v>0</v>
      </c>
      <c r="P114" s="1043">
        <v>0</v>
      </c>
      <c r="Q114" s="1043">
        <v>0</v>
      </c>
      <c r="R114" s="1041">
        <v>0</v>
      </c>
      <c r="S114">
        <v>0</v>
      </c>
      <c r="U114" s="1043">
        <v>0</v>
      </c>
      <c r="V114" s="1043">
        <v>0</v>
      </c>
      <c r="W114" s="1043">
        <v>0</v>
      </c>
      <c r="X114" s="838">
        <v>0</v>
      </c>
      <c r="Y114">
        <v>0</v>
      </c>
    </row>
    <row r="115" spans="1:25" ht="12.75">
      <c r="A115" s="1072">
        <f t="shared" si="3"/>
        <v>2.989999999999979</v>
      </c>
      <c r="B115" s="838" t="s">
        <v>1079</v>
      </c>
      <c r="C115" s="1041">
        <v>2480480.45</v>
      </c>
      <c r="D115" s="1041">
        <v>1791655.6</v>
      </c>
      <c r="E115" s="1041"/>
      <c r="F115" s="1041"/>
      <c r="G115" s="1041"/>
      <c r="H115" s="1041"/>
      <c r="I115" s="1041">
        <v>0</v>
      </c>
      <c r="J115" s="1041">
        <v>0</v>
      </c>
      <c r="K115" s="1041">
        <v>0</v>
      </c>
      <c r="L115" s="1041">
        <v>2136068.0250000004</v>
      </c>
      <c r="M115" s="1043">
        <v>0</v>
      </c>
      <c r="N115" s="1438"/>
      <c r="O115" s="1043">
        <v>0</v>
      </c>
      <c r="P115" s="1043">
        <v>0</v>
      </c>
      <c r="Q115" s="1043">
        <v>0</v>
      </c>
      <c r="R115" s="1041">
        <v>2480480.45</v>
      </c>
      <c r="S115">
        <v>0</v>
      </c>
      <c r="U115" s="1043">
        <v>0</v>
      </c>
      <c r="V115" s="1043">
        <v>0</v>
      </c>
      <c r="W115" s="1043">
        <v>0</v>
      </c>
      <c r="X115" s="838">
        <v>1791655.6</v>
      </c>
      <c r="Y115">
        <v>0</v>
      </c>
    </row>
    <row r="116" spans="1:25" ht="12.75">
      <c r="A116" s="1072">
        <f t="shared" si="3"/>
        <v>2.9999999999999787</v>
      </c>
      <c r="B116" s="838" t="s">
        <v>1080</v>
      </c>
      <c r="C116" s="1041">
        <v>-12585841</v>
      </c>
      <c r="D116" s="1041">
        <v>-13041485.5</v>
      </c>
      <c r="E116" s="1041"/>
      <c r="F116" s="1041"/>
      <c r="G116" s="1041"/>
      <c r="H116" s="1041"/>
      <c r="I116" s="1041">
        <v>-3589403.425</v>
      </c>
      <c r="J116" s="1041">
        <v>-9145430.64</v>
      </c>
      <c r="K116" s="1041">
        <v>-28444.269999999997</v>
      </c>
      <c r="L116" s="1041">
        <v>-50384.915</v>
      </c>
      <c r="M116" s="1043">
        <v>0</v>
      </c>
      <c r="N116" s="1438"/>
      <c r="O116" s="1043">
        <v>-3275184.33</v>
      </c>
      <c r="P116" s="1043">
        <v>-9114961.61</v>
      </c>
      <c r="Q116" s="1043">
        <v>-133548.05</v>
      </c>
      <c r="R116" s="1041">
        <v>-62147.01</v>
      </c>
      <c r="S116">
        <v>0</v>
      </c>
      <c r="U116" s="1043">
        <v>-3903622.52</v>
      </c>
      <c r="V116" s="1043">
        <v>-9175899.67</v>
      </c>
      <c r="W116" s="1043">
        <v>76659.51</v>
      </c>
      <c r="X116" s="838">
        <v>-38622.82</v>
      </c>
      <c r="Y116">
        <v>0</v>
      </c>
    </row>
    <row r="117" spans="1:25" ht="12.75">
      <c r="A117" s="1072">
        <f t="shared" si="3"/>
        <v>3.0099999999999785</v>
      </c>
      <c r="B117" s="838" t="s">
        <v>1081</v>
      </c>
      <c r="C117" s="1041">
        <v>539317</v>
      </c>
      <c r="D117" s="1041">
        <v>539317</v>
      </c>
      <c r="E117" s="1041"/>
      <c r="F117" s="1041"/>
      <c r="G117" s="1041"/>
      <c r="H117" s="1041"/>
      <c r="I117" s="1041">
        <v>0</v>
      </c>
      <c r="J117" s="1041">
        <v>479963</v>
      </c>
      <c r="K117" s="1041">
        <v>0</v>
      </c>
      <c r="L117" s="1041">
        <v>59354</v>
      </c>
      <c r="M117" s="1043">
        <v>0</v>
      </c>
      <c r="N117" s="1438"/>
      <c r="O117" s="1043">
        <v>0</v>
      </c>
      <c r="P117" s="1043">
        <v>479963</v>
      </c>
      <c r="Q117" s="1043">
        <v>0</v>
      </c>
      <c r="R117" s="1041">
        <v>59354</v>
      </c>
      <c r="S117">
        <v>0</v>
      </c>
      <c r="U117" s="1043">
        <v>0</v>
      </c>
      <c r="V117" s="1043">
        <v>479963</v>
      </c>
      <c r="W117" s="1043">
        <v>0</v>
      </c>
      <c r="X117" s="838">
        <v>59354</v>
      </c>
      <c r="Y117">
        <v>0</v>
      </c>
    </row>
    <row r="118" spans="1:25" ht="12.75">
      <c r="A118" s="1072">
        <f t="shared" si="3"/>
        <v>3.0199999999999783</v>
      </c>
      <c r="B118" s="838" t="s">
        <v>1082</v>
      </c>
      <c r="C118" s="1041">
        <v>7079000</v>
      </c>
      <c r="D118" s="1041">
        <v>911613</v>
      </c>
      <c r="E118" s="1041"/>
      <c r="F118" s="1041"/>
      <c r="G118" s="1041"/>
      <c r="H118" s="1041"/>
      <c r="I118" s="1041">
        <v>0</v>
      </c>
      <c r="J118" s="1041">
        <v>3979825</v>
      </c>
      <c r="K118" s="1041">
        <v>0</v>
      </c>
      <c r="L118" s="1041">
        <v>15481.5</v>
      </c>
      <c r="M118" s="1043">
        <v>0</v>
      </c>
      <c r="N118" s="1438"/>
      <c r="O118" s="1043">
        <v>0</v>
      </c>
      <c r="P118" s="1043">
        <v>7079000</v>
      </c>
      <c r="Q118" s="1043">
        <v>0</v>
      </c>
      <c r="R118" s="1041">
        <v>0</v>
      </c>
      <c r="S118">
        <v>0</v>
      </c>
      <c r="U118" s="1043">
        <v>0</v>
      </c>
      <c r="V118" s="1043">
        <v>880650</v>
      </c>
      <c r="W118" s="1043">
        <v>0</v>
      </c>
      <c r="X118" s="838">
        <v>30963</v>
      </c>
      <c r="Y118">
        <v>0</v>
      </c>
    </row>
    <row r="119" spans="1:25" ht="12.75">
      <c r="A119" s="1072">
        <f t="shared" si="3"/>
        <v>3.029999999999978</v>
      </c>
      <c r="B119" s="838" t="s">
        <v>1083</v>
      </c>
      <c r="C119" s="1041">
        <v>0</v>
      </c>
      <c r="D119" s="1041">
        <v>0</v>
      </c>
      <c r="E119" s="1041"/>
      <c r="F119" s="1041"/>
      <c r="G119" s="1041"/>
      <c r="H119" s="1041"/>
      <c r="I119" s="1041">
        <v>0</v>
      </c>
      <c r="J119" s="1041">
        <v>0</v>
      </c>
      <c r="K119" s="1041">
        <v>0</v>
      </c>
      <c r="L119" s="1041">
        <v>0</v>
      </c>
      <c r="M119" s="1043">
        <v>0</v>
      </c>
      <c r="N119" s="1444"/>
      <c r="O119" s="1043">
        <v>0</v>
      </c>
      <c r="P119" s="1043">
        <v>0</v>
      </c>
      <c r="Q119" s="1043">
        <v>0</v>
      </c>
      <c r="R119" s="1041">
        <v>0</v>
      </c>
      <c r="S119">
        <v>0</v>
      </c>
      <c r="U119" s="1043">
        <v>0</v>
      </c>
      <c r="V119" s="1043">
        <v>0</v>
      </c>
      <c r="W119" s="1043">
        <v>0</v>
      </c>
      <c r="X119" s="838">
        <v>0</v>
      </c>
      <c r="Y119">
        <v>0</v>
      </c>
    </row>
    <row r="120" spans="1:25" ht="12.75">
      <c r="A120" s="1072">
        <f t="shared" si="3"/>
        <v>3.039999999999978</v>
      </c>
      <c r="B120" s="838" t="s">
        <v>1084</v>
      </c>
      <c r="C120" s="1041">
        <v>0</v>
      </c>
      <c r="D120" s="1041">
        <v>0</v>
      </c>
      <c r="E120" s="1041"/>
      <c r="F120" s="1041"/>
      <c r="G120" s="1041"/>
      <c r="H120" s="1041"/>
      <c r="I120" s="1041">
        <v>0</v>
      </c>
      <c r="J120" s="1041">
        <v>0</v>
      </c>
      <c r="K120" s="1041">
        <v>0</v>
      </c>
      <c r="L120" s="1041">
        <v>0</v>
      </c>
      <c r="M120" s="1043">
        <v>0</v>
      </c>
      <c r="N120" s="1444"/>
      <c r="O120" s="1043">
        <v>0</v>
      </c>
      <c r="P120" s="1043">
        <v>0</v>
      </c>
      <c r="Q120" s="1043">
        <v>0</v>
      </c>
      <c r="R120" s="1041">
        <v>0</v>
      </c>
      <c r="S120">
        <v>0</v>
      </c>
      <c r="U120" s="1043">
        <v>0</v>
      </c>
      <c r="V120" s="1043">
        <v>0</v>
      </c>
      <c r="W120" s="1043">
        <v>0</v>
      </c>
      <c r="X120" s="838">
        <v>0</v>
      </c>
      <c r="Y120">
        <v>0</v>
      </c>
    </row>
    <row r="121" spans="1:25" ht="12.75">
      <c r="A121" s="1072">
        <f t="shared" si="3"/>
        <v>3.0499999999999776</v>
      </c>
      <c r="B121" s="838" t="s">
        <v>1085</v>
      </c>
      <c r="C121" s="1041">
        <v>-39517.45</v>
      </c>
      <c r="D121" s="1041">
        <v>-30530.15</v>
      </c>
      <c r="E121" s="1041"/>
      <c r="F121" s="1041"/>
      <c r="G121" s="1041"/>
      <c r="H121" s="1041"/>
      <c r="I121" s="1041">
        <v>29272.25</v>
      </c>
      <c r="J121" s="1041">
        <v>-28637</v>
      </c>
      <c r="K121" s="1041">
        <v>-5978.7</v>
      </c>
      <c r="L121" s="1041">
        <v>-29680.35</v>
      </c>
      <c r="M121" s="1043">
        <v>0</v>
      </c>
      <c r="N121" s="1444"/>
      <c r="O121" s="1043">
        <v>31720.5</v>
      </c>
      <c r="P121" s="1043">
        <v>-35937.65</v>
      </c>
      <c r="Q121" s="1043">
        <v>-5915</v>
      </c>
      <c r="R121" s="1041">
        <v>-29385.3</v>
      </c>
      <c r="S121">
        <v>0</v>
      </c>
      <c r="U121" s="1043">
        <v>26824</v>
      </c>
      <c r="V121" s="1043">
        <v>-21336.35</v>
      </c>
      <c r="W121" s="1043">
        <v>-6042.4</v>
      </c>
      <c r="X121" s="838">
        <v>-29975.4</v>
      </c>
      <c r="Y121">
        <v>0</v>
      </c>
    </row>
    <row r="122" spans="1:25" ht="12.75">
      <c r="A122" s="1072">
        <f t="shared" si="3"/>
        <v>3.0599999999999774</v>
      </c>
      <c r="B122" s="838" t="s">
        <v>1086</v>
      </c>
      <c r="C122" s="1041">
        <v>0</v>
      </c>
      <c r="D122" s="1041">
        <v>235109.52000000002</v>
      </c>
      <c r="E122" s="1041"/>
      <c r="F122" s="1041"/>
      <c r="G122" s="1041"/>
      <c r="H122" s="1041"/>
      <c r="I122" s="1041">
        <v>3597.31</v>
      </c>
      <c r="J122" s="1041">
        <v>80606.295</v>
      </c>
      <c r="K122" s="1041">
        <v>395.99</v>
      </c>
      <c r="L122" s="1041">
        <v>32955.165</v>
      </c>
      <c r="M122" s="1043">
        <v>0</v>
      </c>
      <c r="N122" s="1444"/>
      <c r="O122" s="1043">
        <v>0</v>
      </c>
      <c r="P122" s="1043">
        <v>0</v>
      </c>
      <c r="Q122" s="1043">
        <v>0</v>
      </c>
      <c r="R122" s="1041">
        <v>0</v>
      </c>
      <c r="S122">
        <v>0</v>
      </c>
      <c r="U122" s="1043">
        <v>7194.62</v>
      </c>
      <c r="V122" s="1043">
        <v>161212.59</v>
      </c>
      <c r="W122" s="1043">
        <v>791.98</v>
      </c>
      <c r="X122" s="838">
        <v>65910.33</v>
      </c>
      <c r="Y122">
        <v>0</v>
      </c>
    </row>
    <row r="123" spans="1:25" ht="12.75">
      <c r="A123" s="1072">
        <f t="shared" si="3"/>
        <v>3.069999999999977</v>
      </c>
      <c r="B123" s="838" t="s">
        <v>1087</v>
      </c>
      <c r="C123" s="1041">
        <v>0</v>
      </c>
      <c r="D123" s="1041">
        <v>254189.62</v>
      </c>
      <c r="E123" s="1041"/>
      <c r="F123" s="1041"/>
      <c r="G123" s="1041"/>
      <c r="H123" s="1041"/>
      <c r="I123" s="1041">
        <v>6007.075</v>
      </c>
      <c r="J123" s="1041">
        <v>90865.935</v>
      </c>
      <c r="K123" s="1041">
        <v>752.27</v>
      </c>
      <c r="L123" s="1041">
        <v>29469.53</v>
      </c>
      <c r="M123" s="1043">
        <v>0</v>
      </c>
      <c r="N123" s="1444"/>
      <c r="O123" s="1043">
        <v>0</v>
      </c>
      <c r="P123" s="1043">
        <v>0</v>
      </c>
      <c r="Q123" s="1043">
        <v>0</v>
      </c>
      <c r="R123" s="1041">
        <v>0</v>
      </c>
      <c r="S123">
        <v>0</v>
      </c>
      <c r="U123" s="1043">
        <v>12014.15</v>
      </c>
      <c r="V123" s="1043">
        <v>181731.87</v>
      </c>
      <c r="W123" s="1043">
        <v>1504.54</v>
      </c>
      <c r="X123" s="838">
        <v>58939.06</v>
      </c>
      <c r="Y123">
        <v>0</v>
      </c>
    </row>
    <row r="124" spans="1:25" ht="12.75">
      <c r="A124" s="1072">
        <f t="shared" si="3"/>
        <v>3.079999999999977</v>
      </c>
      <c r="B124" s="838" t="s">
        <v>1088</v>
      </c>
      <c r="C124" s="1041">
        <v>0</v>
      </c>
      <c r="D124" s="1041">
        <v>1334608</v>
      </c>
      <c r="E124" s="1041"/>
      <c r="F124" s="1041"/>
      <c r="G124" s="1041"/>
      <c r="H124" s="1041"/>
      <c r="I124" s="1041">
        <v>206434</v>
      </c>
      <c r="J124" s="1041">
        <v>458026.5</v>
      </c>
      <c r="K124" s="1041">
        <v>-160</v>
      </c>
      <c r="L124" s="1041">
        <v>3003.5</v>
      </c>
      <c r="M124" s="1043">
        <v>0</v>
      </c>
      <c r="N124" s="1444"/>
      <c r="O124" s="1043">
        <v>0</v>
      </c>
      <c r="P124" s="1043">
        <v>0</v>
      </c>
      <c r="Q124" s="1043">
        <v>0</v>
      </c>
      <c r="R124" s="1041">
        <v>0</v>
      </c>
      <c r="S124">
        <v>0</v>
      </c>
      <c r="U124" s="1043">
        <v>412868</v>
      </c>
      <c r="V124" s="1043">
        <v>916053</v>
      </c>
      <c r="W124" s="1043">
        <v>-320</v>
      </c>
      <c r="X124" s="838">
        <v>6007</v>
      </c>
      <c r="Y124">
        <v>0</v>
      </c>
    </row>
    <row r="125" spans="1:24" ht="12.75">
      <c r="A125" s="1072">
        <f t="shared" si="3"/>
        <v>3.0899999999999768</v>
      </c>
      <c r="B125" s="838" t="s">
        <v>1089</v>
      </c>
      <c r="C125" s="1041">
        <v>5664034.06</v>
      </c>
      <c r="D125" s="1041">
        <v>2392732</v>
      </c>
      <c r="E125" s="1041">
        <v>-5664034.06</v>
      </c>
      <c r="F125" s="1041">
        <v>-2392732</v>
      </c>
      <c r="G125" s="1041"/>
      <c r="H125" s="1041"/>
      <c r="I125" s="1041"/>
      <c r="J125" s="1041"/>
      <c r="K125" s="1041"/>
      <c r="L125" s="1041"/>
      <c r="M125" s="1043"/>
      <c r="N125" s="1444"/>
      <c r="O125" s="1043"/>
      <c r="P125" s="1043"/>
      <c r="Q125" s="1043"/>
      <c r="R125" s="1041"/>
      <c r="U125" s="1043"/>
      <c r="V125" s="1043"/>
      <c r="W125" s="1043"/>
      <c r="X125" s="838"/>
    </row>
    <row r="126" spans="1:24" ht="12.75">
      <c r="A126" s="1072">
        <f t="shared" si="3"/>
        <v>3.0999999999999766</v>
      </c>
      <c r="B126" s="838" t="s">
        <v>1090</v>
      </c>
      <c r="C126" s="1041">
        <v>73958980.69</v>
      </c>
      <c r="D126" s="1041">
        <v>45729265</v>
      </c>
      <c r="E126" s="1041">
        <v>-73958980.69</v>
      </c>
      <c r="F126" s="1041">
        <v>-45729265</v>
      </c>
      <c r="G126" s="1041"/>
      <c r="H126" s="1041"/>
      <c r="I126" s="1041"/>
      <c r="J126" s="1041"/>
      <c r="K126" s="1041"/>
      <c r="L126" s="1041"/>
      <c r="M126" s="1043"/>
      <c r="N126" s="1444"/>
      <c r="O126" s="1043"/>
      <c r="P126" s="1043"/>
      <c r="Q126" s="1043"/>
      <c r="R126" s="1041"/>
      <c r="U126" s="1043"/>
      <c r="V126" s="1043"/>
      <c r="W126" s="1043"/>
      <c r="X126" s="838"/>
    </row>
    <row r="127" spans="1:24" ht="12.75">
      <c r="A127" s="1072">
        <f t="shared" si="3"/>
        <v>3.1099999999999763</v>
      </c>
      <c r="B127" s="838" t="s">
        <v>1091</v>
      </c>
      <c r="C127" s="1041">
        <v>1091443.47</v>
      </c>
      <c r="D127" s="1041">
        <v>153456213</v>
      </c>
      <c r="E127" s="1041">
        <v>-1091443.47</v>
      </c>
      <c r="F127" s="1041">
        <v>-153456213</v>
      </c>
      <c r="G127" s="1041"/>
      <c r="H127" s="1041"/>
      <c r="I127" s="1041"/>
      <c r="J127" s="1041"/>
      <c r="K127" s="1041"/>
      <c r="L127" s="1041"/>
      <c r="M127" s="1043"/>
      <c r="N127" s="1444"/>
      <c r="O127" s="1043"/>
      <c r="P127" s="1043"/>
      <c r="Q127" s="1043"/>
      <c r="R127" s="1041"/>
      <c r="U127" s="1043"/>
      <c r="V127" s="1043"/>
      <c r="W127" s="1043"/>
      <c r="X127" s="838"/>
    </row>
    <row r="128" spans="1:24" ht="12.75">
      <c r="A128" s="1072">
        <f t="shared" si="3"/>
        <v>3.119999999999976</v>
      </c>
      <c r="B128" s="838" t="s">
        <v>1092</v>
      </c>
      <c r="C128" s="1041">
        <v>0</v>
      </c>
      <c r="D128" s="1041">
        <v>0</v>
      </c>
      <c r="E128" s="1041">
        <v>0</v>
      </c>
      <c r="F128" s="1041">
        <v>0</v>
      </c>
      <c r="G128" s="1041"/>
      <c r="H128" s="1041"/>
      <c r="I128" s="1041"/>
      <c r="J128" s="1041"/>
      <c r="K128" s="1041"/>
      <c r="L128" s="1041"/>
      <c r="M128" s="1043"/>
      <c r="N128" s="1444"/>
      <c r="O128" s="1043"/>
      <c r="P128" s="1043"/>
      <c r="Q128" s="1043"/>
      <c r="R128" s="1041"/>
      <c r="U128" s="1043"/>
      <c r="V128" s="1043"/>
      <c r="W128" s="1043"/>
      <c r="X128" s="838"/>
    </row>
    <row r="129" spans="1:24" ht="12.75">
      <c r="A129" s="1072">
        <f t="shared" si="3"/>
        <v>3.129999999999976</v>
      </c>
      <c r="B129" s="838" t="s">
        <v>1093</v>
      </c>
      <c r="C129" s="1041">
        <v>-319.55</v>
      </c>
      <c r="D129" s="1041">
        <v>17023</v>
      </c>
      <c r="E129" s="1041">
        <v>319.55</v>
      </c>
      <c r="F129" s="1041">
        <v>-17023</v>
      </c>
      <c r="G129" s="1041"/>
      <c r="H129" s="1041"/>
      <c r="I129" s="1041"/>
      <c r="J129" s="1041"/>
      <c r="K129" s="1041"/>
      <c r="L129" s="1041"/>
      <c r="M129" s="1043"/>
      <c r="N129" s="1444"/>
      <c r="O129" s="1043"/>
      <c r="P129" s="1043"/>
      <c r="Q129" s="1043"/>
      <c r="R129" s="1041"/>
      <c r="U129" s="1043"/>
      <c r="V129" s="1043"/>
      <c r="W129" s="1043"/>
      <c r="X129" s="838"/>
    </row>
    <row r="130" spans="1:24" ht="12.75">
      <c r="A130" s="1072">
        <f t="shared" si="3"/>
        <v>3.1399999999999757</v>
      </c>
      <c r="B130" s="838" t="s">
        <v>1094</v>
      </c>
      <c r="C130" s="1041">
        <v>1824201.75</v>
      </c>
      <c r="D130" s="1041">
        <v>638877</v>
      </c>
      <c r="E130" s="1041">
        <v>-1824201.75</v>
      </c>
      <c r="F130" s="1041">
        <v>-638877</v>
      </c>
      <c r="G130" s="1041"/>
      <c r="H130" s="1041"/>
      <c r="I130" s="1041"/>
      <c r="J130" s="1041"/>
      <c r="K130" s="1041"/>
      <c r="L130" s="1041"/>
      <c r="M130" s="1043"/>
      <c r="N130" s="1444"/>
      <c r="O130" s="1043"/>
      <c r="P130" s="1043"/>
      <c r="Q130" s="1043"/>
      <c r="R130" s="1041"/>
      <c r="U130" s="1043"/>
      <c r="V130" s="1043"/>
      <c r="W130" s="1043"/>
      <c r="X130" s="838"/>
    </row>
    <row r="131" spans="1:24" ht="12.75">
      <c r="A131" s="1072">
        <f t="shared" si="3"/>
        <v>3.1499999999999755</v>
      </c>
      <c r="B131" s="838" t="s">
        <v>1095</v>
      </c>
      <c r="C131" s="1041">
        <v>468207.6</v>
      </c>
      <c r="D131" s="1041">
        <v>-190044</v>
      </c>
      <c r="E131" s="1041">
        <v>-468207.6</v>
      </c>
      <c r="F131" s="1041">
        <v>190044</v>
      </c>
      <c r="G131" s="1041"/>
      <c r="H131" s="1041"/>
      <c r="I131" s="1041"/>
      <c r="J131" s="1041"/>
      <c r="K131" s="1041"/>
      <c r="L131" s="1041"/>
      <c r="M131" s="1043"/>
      <c r="N131" s="1444"/>
      <c r="O131" s="1043"/>
      <c r="P131" s="1043"/>
      <c r="Q131" s="1043"/>
      <c r="R131" s="1041"/>
      <c r="U131" s="1043"/>
      <c r="V131" s="1043"/>
      <c r="W131" s="1043"/>
      <c r="X131" s="838"/>
    </row>
    <row r="132" spans="1:24" ht="12.75">
      <c r="A132" s="1072">
        <f t="shared" si="3"/>
        <v>3.1599999999999753</v>
      </c>
      <c r="B132" s="838" t="s">
        <v>1096</v>
      </c>
      <c r="C132" s="1041">
        <v>6461418.65</v>
      </c>
      <c r="D132" s="1041">
        <v>3450930</v>
      </c>
      <c r="E132" s="1041">
        <v>-6461418.65</v>
      </c>
      <c r="F132" s="1041">
        <v>-3450930</v>
      </c>
      <c r="G132" s="1041"/>
      <c r="H132" s="1041"/>
      <c r="I132" s="1041"/>
      <c r="J132" s="1041"/>
      <c r="K132" s="1041"/>
      <c r="L132" s="1041"/>
      <c r="M132" s="1043"/>
      <c r="N132" s="1444"/>
      <c r="O132" s="1043"/>
      <c r="P132" s="1043"/>
      <c r="Q132" s="1043"/>
      <c r="R132" s="1041"/>
      <c r="U132" s="1043"/>
      <c r="V132" s="1043"/>
      <c r="W132" s="1043"/>
      <c r="X132" s="838"/>
    </row>
    <row r="133" spans="1:24" ht="12.75">
      <c r="A133" s="1072">
        <f t="shared" si="3"/>
        <v>3.169999999999975</v>
      </c>
      <c r="B133" s="838" t="s">
        <v>1097</v>
      </c>
      <c r="C133" s="1041">
        <v>-332553</v>
      </c>
      <c r="D133" s="1041">
        <v>-313446</v>
      </c>
      <c r="E133" s="1041">
        <v>332553</v>
      </c>
      <c r="F133" s="1041">
        <v>313446</v>
      </c>
      <c r="G133" s="1041"/>
      <c r="H133" s="1041"/>
      <c r="I133" s="1041"/>
      <c r="J133" s="1041"/>
      <c r="K133" s="1041"/>
      <c r="L133" s="1041"/>
      <c r="M133" s="1043"/>
      <c r="N133" s="1444"/>
      <c r="O133" s="1043"/>
      <c r="P133" s="1043"/>
      <c r="Q133" s="1043"/>
      <c r="R133" s="1041"/>
      <c r="U133" s="1043"/>
      <c r="V133" s="1043"/>
      <c r="W133" s="1043"/>
      <c r="X133" s="838"/>
    </row>
    <row r="134" spans="1:24" ht="12.75">
      <c r="A134" s="1072"/>
      <c r="B134" s="838"/>
      <c r="C134" s="1041"/>
      <c r="D134" s="1041"/>
      <c r="E134" s="1041"/>
      <c r="F134" s="1041"/>
      <c r="G134" s="1041"/>
      <c r="H134" s="1041"/>
      <c r="I134" s="1041"/>
      <c r="J134" s="1041"/>
      <c r="K134" s="1041"/>
      <c r="L134" s="1041"/>
      <c r="M134" s="1043"/>
      <c r="N134" s="1444"/>
      <c r="O134" s="1043"/>
      <c r="P134" s="1043"/>
      <c r="Q134" s="1043"/>
      <c r="R134" s="1041"/>
      <c r="U134" s="1043"/>
      <c r="V134" s="1043"/>
      <c r="W134" s="1043"/>
      <c r="X134" s="838"/>
    </row>
    <row r="135" spans="1:23" ht="12.75">
      <c r="A135" s="1062"/>
      <c r="B135" s="1041"/>
      <c r="C135" s="1041"/>
      <c r="D135" s="1041"/>
      <c r="E135" s="1041"/>
      <c r="F135" s="1041"/>
      <c r="G135" s="1041"/>
      <c r="H135" s="1041"/>
      <c r="I135" s="1041"/>
      <c r="J135" s="1041"/>
      <c r="K135" s="1041"/>
      <c r="L135" s="1041"/>
      <c r="M135" s="1041"/>
      <c r="N135" s="1444"/>
      <c r="O135" s="1041"/>
      <c r="P135" s="1041"/>
      <c r="Q135" s="1041"/>
      <c r="R135" s="1041"/>
      <c r="U135" s="1041"/>
      <c r="V135" s="1041"/>
      <c r="W135" s="1041"/>
    </row>
    <row r="136" spans="1:25" ht="13.5" thickBot="1">
      <c r="A136" s="22">
        <v>3</v>
      </c>
      <c r="B136" s="1047" t="s">
        <v>731</v>
      </c>
      <c r="C136" s="1063">
        <f>SUM(C17:C135)</f>
        <v>914977833.52</v>
      </c>
      <c r="D136" s="1063">
        <f>SUM(D17:D135)</f>
        <v>1096784601.58</v>
      </c>
      <c r="E136" s="1063">
        <f>SUM(E17:E135)</f>
        <v>-89135413.67</v>
      </c>
      <c r="F136" s="1063">
        <f>SUM(F17:F135)</f>
        <v>-205181550</v>
      </c>
      <c r="G136" s="1063">
        <f>SUM(G17:G135)</f>
        <v>859671652</v>
      </c>
      <c r="H136" s="1041"/>
      <c r="I136" s="1063">
        <f>SUM(I17:I135)</f>
        <v>34649689.349999994</v>
      </c>
      <c r="J136" s="1063">
        <f>SUM(J17:J135)</f>
        <v>789517010.7449999</v>
      </c>
      <c r="K136" s="1063">
        <f>SUM(K17:K135)</f>
        <v>13571291.059999999</v>
      </c>
      <c r="L136" s="1063">
        <f>SUM(L17:L135)</f>
        <v>20984744.559999987</v>
      </c>
      <c r="M136" s="1063">
        <f>SUM(M17:M135)</f>
        <v>0</v>
      </c>
      <c r="N136" s="1444"/>
      <c r="O136" s="1063">
        <f>SUM(O17:O135)</f>
        <v>38696369.309999995</v>
      </c>
      <c r="P136" s="1063">
        <f>SUM(P17:P135)</f>
        <v>748559713.4100001</v>
      </c>
      <c r="Q136" s="1063">
        <f>SUM(Q17:Q135)</f>
        <v>13179692.56</v>
      </c>
      <c r="R136" s="1063">
        <f>SUM(R17:R135)</f>
        <v>25406644.570000004</v>
      </c>
      <c r="S136" s="1063">
        <f>SUM(S17:S135)</f>
        <v>0</v>
      </c>
      <c r="T136" s="1063"/>
      <c r="U136" s="1063">
        <f>SUM(U17:U135)</f>
        <v>30603009.390000008</v>
      </c>
      <c r="V136" s="1063">
        <f>SUM(V17:V135)</f>
        <v>830474308.08</v>
      </c>
      <c r="W136" s="1063">
        <f>SUM(W17:W135)</f>
        <v>13962889.56</v>
      </c>
      <c r="X136" s="1063">
        <f>SUM(X17:X135)</f>
        <v>16562844.549999995</v>
      </c>
      <c r="Y136" s="1063">
        <f>SUM(Y17:Y135)</f>
        <v>0</v>
      </c>
    </row>
    <row r="137" spans="1:25" ht="13.5" thickTop="1">
      <c r="A137" s="1">
        <v>4</v>
      </c>
      <c r="B137" s="1118" t="s">
        <v>734</v>
      </c>
      <c r="C137" s="1119">
        <f>C77+C101</f>
        <v>696241689.99</v>
      </c>
      <c r="D137" s="1119">
        <f aca="true" t="shared" si="4" ref="D137:Y137">D77+D101</f>
        <v>793380249.74</v>
      </c>
      <c r="E137" s="1119">
        <f t="shared" si="4"/>
        <v>0</v>
      </c>
      <c r="F137" s="1119">
        <f t="shared" si="4"/>
        <v>0</v>
      </c>
      <c r="G137" s="1119">
        <f t="shared" si="4"/>
        <v>744810970</v>
      </c>
      <c r="H137" s="6"/>
      <c r="I137" s="1119">
        <f t="shared" si="4"/>
        <v>4615162.05</v>
      </c>
      <c r="J137" s="1119">
        <f t="shared" si="4"/>
        <v>740052459.53</v>
      </c>
      <c r="K137" s="1119">
        <f t="shared" si="4"/>
        <v>0</v>
      </c>
      <c r="L137" s="1119">
        <f>L77+L101</f>
        <v>143348.285</v>
      </c>
      <c r="M137" s="1119">
        <f t="shared" si="4"/>
        <v>0</v>
      </c>
      <c r="N137" s="1445"/>
      <c r="O137" s="1119">
        <f t="shared" si="4"/>
        <v>3120522.93</v>
      </c>
      <c r="P137" s="1119">
        <f t="shared" si="4"/>
        <v>692959551.9300001</v>
      </c>
      <c r="Q137" s="1119">
        <f t="shared" si="4"/>
        <v>0</v>
      </c>
      <c r="R137" s="1119">
        <f t="shared" si="4"/>
        <v>161615.13</v>
      </c>
      <c r="S137" s="1119">
        <f t="shared" si="4"/>
        <v>0</v>
      </c>
      <c r="T137" s="1119"/>
      <c r="U137" s="1119">
        <f t="shared" si="4"/>
        <v>6109801.17</v>
      </c>
      <c r="V137" s="1119">
        <f t="shared" si="4"/>
        <v>787145367.13</v>
      </c>
      <c r="W137" s="1119">
        <f t="shared" si="4"/>
        <v>0</v>
      </c>
      <c r="X137" s="1119">
        <f t="shared" si="4"/>
        <v>125081.44</v>
      </c>
      <c r="Y137" s="1119">
        <f t="shared" si="4"/>
        <v>0</v>
      </c>
    </row>
    <row r="138" ht="12.75">
      <c r="I138" s="1064"/>
    </row>
  </sheetData>
  <sheetProtection/>
  <printOptions/>
  <pageMargins left="0.7" right="0.7" top="0.75" bottom="0.75" header="0.3" footer="0.3"/>
  <pageSetup fitToHeight="0" fitToWidth="1" horizontalDpi="600" verticalDpi="600" orientation="landscape" scale="32" r:id="rId1"/>
</worksheet>
</file>

<file path=xl/worksheets/sheet6.xml><?xml version="1.0" encoding="utf-8"?>
<worksheet xmlns="http://schemas.openxmlformats.org/spreadsheetml/2006/main" xmlns:r="http://schemas.openxmlformats.org/officeDocument/2006/relationships">
  <sheetPr>
    <pageSetUpPr fitToPage="1"/>
  </sheetPr>
  <dimension ref="A1:O135"/>
  <sheetViews>
    <sheetView zoomScale="85" zoomScaleNormal="85" zoomScaleSheetLayoutView="100" zoomScalePageLayoutView="0" workbookViewId="0" topLeftCell="E46">
      <selection activeCell="L49" sqref="L49"/>
    </sheetView>
  </sheetViews>
  <sheetFormatPr defaultColWidth="11.421875" defaultRowHeight="12.75"/>
  <cols>
    <col min="1" max="1" width="8.140625" style="62" customWidth="1"/>
    <col min="2" max="2" width="16.57421875" style="63" bestFit="1" customWidth="1"/>
    <col min="3" max="3" width="44.140625" style="63" customWidth="1"/>
    <col min="4" max="4" width="29.7109375" style="63" customWidth="1"/>
    <col min="5" max="5" width="24.28125" style="72" customWidth="1"/>
    <col min="6" max="6" width="0.9921875" style="72" customWidth="1"/>
    <col min="7" max="7" width="20.8515625" style="63" customWidth="1"/>
    <col min="8" max="8" width="0.9921875" style="63" customWidth="1"/>
    <col min="9" max="9" width="19.140625" style="63" customWidth="1"/>
    <col min="10" max="10" width="16.7109375" style="63" customWidth="1"/>
    <col min="11" max="11" width="15.28125" style="63" customWidth="1"/>
    <col min="12" max="12" width="33.57421875" style="63" customWidth="1"/>
    <col min="13" max="14" width="13.421875" style="63" customWidth="1"/>
    <col min="15" max="15" width="13.7109375" style="63" customWidth="1"/>
    <col min="16" max="16384" width="11.421875" style="63" customWidth="1"/>
  </cols>
  <sheetData>
    <row r="1" spans="1:15" ht="15">
      <c r="A1" s="1480" t="str">
        <f>+'I&amp;M WS B ADIT &amp; ITC'!A1:I1</f>
        <v>AEP East Companies</v>
      </c>
      <c r="B1" s="1480"/>
      <c r="C1" s="1480"/>
      <c r="D1" s="1480"/>
      <c r="E1" s="1480"/>
      <c r="F1" s="1480"/>
      <c r="G1" s="1480"/>
      <c r="H1" s="1480"/>
      <c r="I1" s="1480"/>
      <c r="J1" s="1480"/>
      <c r="K1" s="1480"/>
      <c r="L1" s="1480"/>
      <c r="M1" s="40"/>
      <c r="N1" s="40"/>
      <c r="O1" s="40"/>
    </row>
    <row r="2" spans="1:15" ht="15">
      <c r="A2" s="1481" t="str">
        <f>"Cost of Service Formula Rate Using Actual/Projected FF1 Balances"</f>
        <v>Cost of Service Formula Rate Using Actual/Projected FF1 Balances</v>
      </c>
      <c r="B2" s="1481"/>
      <c r="C2" s="1481"/>
      <c r="D2" s="1481"/>
      <c r="E2" s="1481"/>
      <c r="F2" s="1481"/>
      <c r="G2" s="1481"/>
      <c r="H2" s="1481"/>
      <c r="I2" s="1481"/>
      <c r="J2" s="1481"/>
      <c r="K2" s="1481"/>
      <c r="L2" s="1481"/>
      <c r="M2" s="90"/>
      <c r="N2" s="90"/>
      <c r="O2" s="90"/>
    </row>
    <row r="3" spans="1:15" ht="15">
      <c r="A3" s="1481" t="s">
        <v>497</v>
      </c>
      <c r="B3" s="1481"/>
      <c r="C3" s="1481"/>
      <c r="D3" s="1481"/>
      <c r="E3" s="1481"/>
      <c r="F3" s="1481"/>
      <c r="G3" s="1481"/>
      <c r="H3" s="1481"/>
      <c r="I3" s="1481"/>
      <c r="J3" s="1481"/>
      <c r="K3" s="1481"/>
      <c r="L3" s="1481"/>
      <c r="M3" s="89"/>
      <c r="N3" s="89"/>
      <c r="O3" s="89"/>
    </row>
    <row r="4" spans="1:15" ht="15">
      <c r="A4" s="1492" t="str">
        <f>'I&amp;M TCOS'!F7</f>
        <v>INDIANA MICHIGAN POWER COMPANY</v>
      </c>
      <c r="B4" s="1492"/>
      <c r="C4" s="1492"/>
      <c r="D4" s="1492"/>
      <c r="E4" s="1492"/>
      <c r="F4" s="1492"/>
      <c r="G4" s="1492"/>
      <c r="H4" s="1492"/>
      <c r="I4" s="1492"/>
      <c r="J4" s="1492"/>
      <c r="K4" s="1492"/>
      <c r="L4" s="1492"/>
      <c r="M4" s="4"/>
      <c r="N4" s="4"/>
      <c r="O4" s="4"/>
    </row>
    <row r="5" spans="1:15" ht="15">
      <c r="A5" s="4"/>
      <c r="B5" s="4"/>
      <c r="C5" s="4"/>
      <c r="D5" s="4"/>
      <c r="E5" s="4"/>
      <c r="F5" s="4"/>
      <c r="G5" s="4"/>
      <c r="H5" s="3"/>
      <c r="I5" s="61"/>
      <c r="J5" s="61"/>
      <c r="K5" s="61"/>
      <c r="L5" s="61"/>
      <c r="M5" s="61"/>
      <c r="N5" s="61"/>
      <c r="O5" s="61"/>
    </row>
    <row r="6" spans="1:15" ht="12.75" customHeight="1">
      <c r="A6" s="87"/>
      <c r="B6" s="87" t="s">
        <v>164</v>
      </c>
      <c r="C6" s="87" t="s">
        <v>165</v>
      </c>
      <c r="D6" s="85" t="s">
        <v>4</v>
      </c>
      <c r="E6" s="85" t="s">
        <v>167</v>
      </c>
      <c r="F6" s="87"/>
      <c r="G6" s="87" t="s">
        <v>85</v>
      </c>
      <c r="H6" s="87"/>
      <c r="I6" s="87" t="s">
        <v>86</v>
      </c>
      <c r="J6" s="87" t="s">
        <v>87</v>
      </c>
      <c r="K6" s="87" t="s">
        <v>92</v>
      </c>
      <c r="L6" s="87" t="s">
        <v>502</v>
      </c>
      <c r="M6" s="87"/>
      <c r="N6" s="87"/>
      <c r="O6" s="87"/>
    </row>
    <row r="7" ht="12.75">
      <c r="A7" s="60"/>
    </row>
    <row r="8" spans="1:15" ht="18">
      <c r="A8" s="84"/>
      <c r="B8" s="1497" t="s">
        <v>209</v>
      </c>
      <c r="C8" s="1497"/>
      <c r="D8" s="1497"/>
      <c r="E8" s="1497"/>
      <c r="F8" s="1497"/>
      <c r="G8" s="1497"/>
      <c r="H8" s="1497"/>
      <c r="I8" s="1497"/>
      <c r="J8" s="1497"/>
      <c r="K8" s="1497"/>
      <c r="O8" s="72"/>
    </row>
    <row r="9" spans="1:15" ht="12.75">
      <c r="A9" s="84"/>
      <c r="I9" s="16"/>
      <c r="J9" s="16"/>
      <c r="O9" s="72"/>
    </row>
    <row r="10" spans="1:15" ht="12.75" customHeight="1">
      <c r="A10" s="12" t="s">
        <v>171</v>
      </c>
      <c r="B10" s="65"/>
      <c r="C10" s="73"/>
      <c r="D10" s="196"/>
      <c r="E10" s="1494" t="str">
        <f>"Balance @ December 31, "&amp;'I&amp;M TCOS'!L2&amp;""</f>
        <v>Balance @ December 31, 2017</v>
      </c>
      <c r="F10" s="196"/>
      <c r="G10" s="1494" t="str">
        <f>"Balance @ December 31, "&amp;'I&amp;M TCOS'!L2-1&amp;""</f>
        <v>Balance @ December 31, 2016</v>
      </c>
      <c r="H10" s="252"/>
      <c r="I10" s="1493" t="str">
        <f>"Average Balance for "&amp;'I&amp;M TCOS'!L2&amp;""</f>
        <v>Average Balance for 2017</v>
      </c>
      <c r="J10" s="95"/>
      <c r="K10" s="68"/>
      <c r="L10" s="74"/>
      <c r="M10" s="68"/>
      <c r="N10" s="68"/>
      <c r="O10" s="72"/>
    </row>
    <row r="11" spans="1:14" ht="12.75">
      <c r="A11" s="12" t="s">
        <v>107</v>
      </c>
      <c r="B11" s="69"/>
      <c r="C11" s="65"/>
      <c r="D11" s="197" t="s">
        <v>208</v>
      </c>
      <c r="E11" s="1495"/>
      <c r="F11" s="198"/>
      <c r="G11" s="1495"/>
      <c r="H11" s="199"/>
      <c r="I11" s="1491"/>
      <c r="J11" s="95"/>
      <c r="K11" s="75"/>
      <c r="L11" s="76"/>
      <c r="M11" s="66"/>
      <c r="N11" s="66"/>
    </row>
    <row r="12" spans="1:14" ht="12.75">
      <c r="A12" s="69"/>
      <c r="B12" s="69"/>
      <c r="C12" s="65"/>
      <c r="D12" s="71"/>
      <c r="E12" s="64"/>
      <c r="F12" s="64"/>
      <c r="G12" s="223"/>
      <c r="H12" s="70"/>
      <c r="J12" s="16"/>
      <c r="K12" s="75"/>
      <c r="L12" s="76"/>
      <c r="M12" s="66"/>
      <c r="N12" s="66"/>
    </row>
    <row r="13" spans="1:14" ht="12.75">
      <c r="A13" s="69">
        <v>1</v>
      </c>
      <c r="B13" s="69"/>
      <c r="D13" s="56"/>
      <c r="E13" s="32"/>
      <c r="F13" s="32"/>
      <c r="G13" s="32"/>
      <c r="H13" s="32"/>
      <c r="I13" s="32"/>
      <c r="K13" s="32"/>
      <c r="L13" s="32"/>
      <c r="M13" s="66"/>
      <c r="N13" s="66"/>
    </row>
    <row r="14" spans="1:14" ht="12.75">
      <c r="A14" s="69"/>
      <c r="B14" s="69"/>
      <c r="C14" s="56"/>
      <c r="D14" s="56"/>
      <c r="E14" s="32"/>
      <c r="F14" s="32"/>
      <c r="G14" s="32"/>
      <c r="H14" s="32"/>
      <c r="I14" s="32"/>
      <c r="K14" s="32"/>
      <c r="L14" s="32"/>
      <c r="M14" s="66"/>
      <c r="N14" s="66"/>
    </row>
    <row r="15" spans="1:14" ht="12.75">
      <c r="A15" s="69">
        <f>+A13+1</f>
        <v>2</v>
      </c>
      <c r="B15" s="69"/>
      <c r="C15" s="56" t="s">
        <v>529</v>
      </c>
      <c r="D15" s="67" t="s">
        <v>437</v>
      </c>
      <c r="E15" s="1339">
        <v>540017</v>
      </c>
      <c r="F15" s="1338"/>
      <c r="G15" s="1339">
        <v>913624</v>
      </c>
      <c r="H15" s="32"/>
      <c r="I15" s="132">
        <f>IF(G15="",0,(E15+G15)/2)</f>
        <v>726820.5</v>
      </c>
      <c r="J15"/>
      <c r="K15" s="132"/>
      <c r="L15" s="32"/>
      <c r="M15" s="66"/>
      <c r="N15" s="66"/>
    </row>
    <row r="16" spans="1:14" ht="12.75">
      <c r="A16" s="69"/>
      <c r="B16" s="69"/>
      <c r="C16" s="56"/>
      <c r="D16"/>
      <c r="E16"/>
      <c r="F16"/>
      <c r="G16"/>
      <c r="H16"/>
      <c r="I16" s="5"/>
      <c r="J16"/>
      <c r="K16"/>
      <c r="L16" s="32"/>
      <c r="M16" s="66"/>
      <c r="N16" s="66"/>
    </row>
    <row r="17" spans="1:14" ht="12.75">
      <c r="A17" s="69">
        <f>+A15+1</f>
        <v>3</v>
      </c>
      <c r="B17" s="69"/>
      <c r="C17" s="56" t="s">
        <v>531</v>
      </c>
      <c r="D17" s="67" t="s">
        <v>438</v>
      </c>
      <c r="E17" s="1339">
        <v>285085</v>
      </c>
      <c r="F17" s="64"/>
      <c r="G17" s="1339">
        <v>248184</v>
      </c>
      <c r="H17" s="70"/>
      <c r="I17" s="132">
        <f>IF(G17="",0,(E17+G17)/2)</f>
        <v>266634.5</v>
      </c>
      <c r="J17" s="16"/>
      <c r="K17" s="75"/>
      <c r="L17" s="76"/>
      <c r="M17" s="66"/>
      <c r="N17" s="66"/>
    </row>
    <row r="18" spans="1:14" ht="12.75">
      <c r="A18" s="69"/>
      <c r="B18" s="69"/>
      <c r="C18" s="56"/>
      <c r="D18" s="67"/>
      <c r="E18"/>
      <c r="F18"/>
      <c r="G18"/>
      <c r="H18"/>
      <c r="I18"/>
      <c r="J18"/>
      <c r="K18" s="75"/>
      <c r="L18" s="76"/>
      <c r="M18" s="66"/>
      <c r="N18" s="66"/>
    </row>
    <row r="19" spans="1:14" ht="12.75">
      <c r="A19" s="69">
        <f>+A17+1</f>
        <v>4</v>
      </c>
      <c r="B19" s="69"/>
      <c r="C19" s="56" t="s">
        <v>751</v>
      </c>
      <c r="D19" s="67" t="s">
        <v>439</v>
      </c>
      <c r="E19" s="1339">
        <v>0</v>
      </c>
      <c r="F19" s="64"/>
      <c r="G19" s="1339">
        <v>0</v>
      </c>
      <c r="H19" s="70"/>
      <c r="I19" s="132">
        <f>IF(G19="",0,(E19+G19)/2)</f>
        <v>0</v>
      </c>
      <c r="J19" s="16"/>
      <c r="K19" s="75"/>
      <c r="L19" s="76"/>
      <c r="M19" s="66"/>
      <c r="N19" s="66"/>
    </row>
    <row r="20" spans="1:14" ht="12.75">
      <c r="A20" s="69"/>
      <c r="B20" s="69"/>
      <c r="C20" s="65"/>
      <c r="D20" s="71"/>
      <c r="E20" s="64"/>
      <c r="F20" s="64"/>
      <c r="G20" s="72"/>
      <c r="H20" s="70"/>
      <c r="I20" s="72"/>
      <c r="J20" s="16"/>
      <c r="K20" s="75"/>
      <c r="L20" s="76"/>
      <c r="M20" s="66"/>
      <c r="N20" s="66"/>
    </row>
    <row r="21" spans="1:14" ht="12.75">
      <c r="A21" s="186"/>
      <c r="B21" s="186"/>
      <c r="C21" s="187"/>
      <c r="D21" s="188"/>
      <c r="E21" s="189"/>
      <c r="F21" s="189"/>
      <c r="G21" s="190"/>
      <c r="H21" s="191"/>
      <c r="I21" s="190"/>
      <c r="J21" s="192"/>
      <c r="K21" s="193"/>
      <c r="L21" s="194"/>
      <c r="M21" s="66"/>
      <c r="N21" s="66"/>
    </row>
    <row r="22" spans="1:14" ht="18">
      <c r="A22" s="69"/>
      <c r="B22" s="1497" t="s">
        <v>750</v>
      </c>
      <c r="C22" s="1497"/>
      <c r="D22" s="1497"/>
      <c r="E22" s="1497"/>
      <c r="F22" s="1497"/>
      <c r="G22" s="1497"/>
      <c r="H22" s="1497"/>
      <c r="I22" s="1497"/>
      <c r="J22" s="1497"/>
      <c r="K22" s="1497"/>
      <c r="L22" s="76"/>
      <c r="M22" s="66"/>
      <c r="N22" s="66"/>
    </row>
    <row r="23" spans="1:14" ht="12.75" customHeight="1">
      <c r="A23" s="69"/>
      <c r="B23" s="145"/>
      <c r="C23" s="65"/>
      <c r="D23" s="26"/>
      <c r="E23" s="10"/>
      <c r="F23" s="63"/>
      <c r="G23" s="10" t="s">
        <v>88</v>
      </c>
      <c r="I23" s="8" t="s">
        <v>117</v>
      </c>
      <c r="J23" s="8" t="s">
        <v>117</v>
      </c>
      <c r="K23" s="8" t="s">
        <v>181</v>
      </c>
      <c r="L23" s="76"/>
      <c r="M23" s="66"/>
      <c r="N23" s="66"/>
    </row>
    <row r="24" spans="1:14" ht="12.75" customHeight="1">
      <c r="A24" s="69"/>
      <c r="B24" s="145"/>
      <c r="C24" s="65"/>
      <c r="D24" s="142" t="s">
        <v>503</v>
      </c>
      <c r="E24" s="8" t="s">
        <v>533</v>
      </c>
      <c r="F24" s="63"/>
      <c r="G24" s="8" t="s">
        <v>117</v>
      </c>
      <c r="I24" s="8" t="s">
        <v>525</v>
      </c>
      <c r="J24" s="8" t="s">
        <v>163</v>
      </c>
      <c r="K24" s="8" t="s">
        <v>182</v>
      </c>
      <c r="L24" s="76"/>
      <c r="M24" s="66"/>
      <c r="N24" s="66"/>
    </row>
    <row r="25" spans="1:14" ht="12.75" customHeight="1">
      <c r="A25" s="69">
        <f>+A19+1</f>
        <v>5</v>
      </c>
      <c r="B25" s="145"/>
      <c r="C25" s="65"/>
      <c r="D25" s="13" t="s">
        <v>89</v>
      </c>
      <c r="E25" s="13" t="s">
        <v>504</v>
      </c>
      <c r="F25" s="63"/>
      <c r="G25" s="13" t="s">
        <v>526</v>
      </c>
      <c r="I25" s="13" t="s">
        <v>526</v>
      </c>
      <c r="J25" s="13" t="s">
        <v>526</v>
      </c>
      <c r="K25" s="13" t="s">
        <v>527</v>
      </c>
      <c r="L25" s="76"/>
      <c r="M25" s="66"/>
      <c r="N25" s="66"/>
    </row>
    <row r="26" spans="1:14" ht="12.75">
      <c r="A26" s="69"/>
      <c r="B26" s="69"/>
      <c r="C26" s="65"/>
      <c r="D26" s="71"/>
      <c r="E26" s="64"/>
      <c r="F26" s="64"/>
      <c r="G26" s="72"/>
      <c r="H26" s="70"/>
      <c r="I26" s="72"/>
      <c r="J26" s="16"/>
      <c r="K26" s="224"/>
      <c r="L26" s="76"/>
      <c r="M26" s="66"/>
      <c r="N26" s="66"/>
    </row>
    <row r="27" spans="1:14" ht="12.75">
      <c r="A27" s="69">
        <f>+A25+1</f>
        <v>6</v>
      </c>
      <c r="B27" s="69"/>
      <c r="C27" s="63" t="str">
        <f>"Totals as of December 31, "&amp;'I&amp;M TCOS'!L2&amp;""</f>
        <v>Totals as of December 31, 2017</v>
      </c>
      <c r="D27" s="146">
        <f>ROUND(D59,0)</f>
        <v>8241342</v>
      </c>
      <c r="E27" s="233">
        <f>ROUND(E59,0)</f>
        <v>-146764529</v>
      </c>
      <c r="F27" s="147"/>
      <c r="G27" s="146">
        <f>ROUND(G59,0)</f>
        <v>0</v>
      </c>
      <c r="H27" s="70"/>
      <c r="I27" s="146">
        <f>ROUND(I59,0)</f>
        <v>5043475</v>
      </c>
      <c r="J27" s="148">
        <f>+J59</f>
        <v>149962396</v>
      </c>
      <c r="K27" s="146">
        <f>ROUND(K59,0)</f>
        <v>155005871</v>
      </c>
      <c r="L27" s="76"/>
      <c r="M27" s="66"/>
      <c r="N27" s="66"/>
    </row>
    <row r="28" spans="1:14" ht="12.75">
      <c r="A28" s="69">
        <f>+A27+1</f>
        <v>7</v>
      </c>
      <c r="B28" s="69"/>
      <c r="C28" s="63" t="str">
        <f>"Totals as of December 31, "&amp;'I&amp;M TCOS'!L2-1&amp;""</f>
        <v>Totals as of December 31, 2016</v>
      </c>
      <c r="D28" s="151">
        <f>IF(D89="","",D89)</f>
        <v>8140253</v>
      </c>
      <c r="E28" s="234">
        <f>IF(E89="","",E89)</f>
        <v>-139123822</v>
      </c>
      <c r="F28" s="64"/>
      <c r="G28" s="151">
        <f>IF(G89="","",G89)</f>
      </c>
      <c r="H28" s="70"/>
      <c r="I28" s="151">
        <f>IF(I89="","",I89)</f>
        <v>5038318</v>
      </c>
      <c r="J28" s="151">
        <f>IF(J89="","",J89)</f>
        <v>142225758</v>
      </c>
      <c r="K28" s="151">
        <f>IF(K89="","",K89)</f>
        <v>147264076</v>
      </c>
      <c r="L28" s="76"/>
      <c r="M28" s="66"/>
      <c r="N28" s="66"/>
    </row>
    <row r="29" spans="1:14" ht="13.5" thickBot="1">
      <c r="A29" s="69">
        <f>+A28+1</f>
        <v>8</v>
      </c>
      <c r="B29" s="69"/>
      <c r="C29" s="92" t="s">
        <v>215</v>
      </c>
      <c r="D29" s="152">
        <f>IF(D28="",0,(D27+D28)/2)</f>
        <v>8190797.5</v>
      </c>
      <c r="E29" s="152">
        <f>IF(E28="",0,(E27+E28)/2)</f>
        <v>-142944175.5</v>
      </c>
      <c r="F29" s="153"/>
      <c r="G29" s="152">
        <f>IF(G28="",0,(G27+G28)/2)</f>
        <v>0</v>
      </c>
      <c r="H29" s="86"/>
      <c r="I29" s="152">
        <f>IF(I28="",0,(I27+I28)/2)</f>
        <v>5040896.5</v>
      </c>
      <c r="J29" s="152">
        <f>IF(J28="",0,(J27+J28)/2)</f>
        <v>146094077</v>
      </c>
      <c r="K29" s="152">
        <f>IF(K28="",0,(K27+K28)/2)</f>
        <v>151134973.5</v>
      </c>
      <c r="L29" s="76"/>
      <c r="M29" s="66"/>
      <c r="N29" s="66"/>
    </row>
    <row r="30" spans="1:14" ht="13.5" thickTop="1">
      <c r="A30" s="69"/>
      <c r="B30" s="69"/>
      <c r="D30" s="71"/>
      <c r="E30" s="64"/>
      <c r="F30" s="64"/>
      <c r="G30" s="72"/>
      <c r="H30" s="70"/>
      <c r="I30" s="72"/>
      <c r="J30" s="16"/>
      <c r="K30" s="75"/>
      <c r="L30" s="76"/>
      <c r="M30" s="66"/>
      <c r="N30" s="66"/>
    </row>
    <row r="31" spans="1:14" ht="12.75">
      <c r="A31" s="63"/>
      <c r="E31" s="63"/>
      <c r="F31" s="63"/>
      <c r="J31" s="16"/>
      <c r="K31" s="75"/>
      <c r="L31" s="76"/>
      <c r="M31" s="66"/>
      <c r="N31" s="66"/>
    </row>
    <row r="32" spans="1:14" ht="18">
      <c r="A32" s="69"/>
      <c r="B32" s="1498" t="str">
        <f>"Prepayments Account 165 - Balance @ 12/31/"&amp;D34&amp;""</f>
        <v>Prepayments Account 165 - Balance @ 12/31/2017</v>
      </c>
      <c r="C32" s="1499"/>
      <c r="D32" s="1499"/>
      <c r="E32" s="1499"/>
      <c r="F32" s="1499"/>
      <c r="G32" s="1499"/>
      <c r="H32" s="1499"/>
      <c r="I32" s="1499"/>
      <c r="J32" s="1499"/>
      <c r="K32" s="75"/>
      <c r="L32" s="76"/>
      <c r="M32" s="66"/>
      <c r="N32" s="66"/>
    </row>
    <row r="33" spans="1:14" ht="12.75">
      <c r="A33" s="69"/>
      <c r="B33" s="138"/>
      <c r="C33" s="140"/>
      <c r="D33" s="26"/>
      <c r="E33" s="10"/>
      <c r="F33" s="63"/>
      <c r="G33" s="10" t="s">
        <v>88</v>
      </c>
      <c r="I33" s="8" t="s">
        <v>117</v>
      </c>
      <c r="J33" s="8" t="s">
        <v>117</v>
      </c>
      <c r="K33" s="8" t="s">
        <v>181</v>
      </c>
      <c r="L33"/>
      <c r="M33" s="66"/>
      <c r="N33" s="66"/>
    </row>
    <row r="34" spans="1:14" ht="12.75">
      <c r="A34" s="69"/>
      <c r="B34" s="138"/>
      <c r="C34" s="141"/>
      <c r="D34" s="142" t="str">
        <f>""&amp;'I&amp;M TCOS'!L2</f>
        <v>2017</v>
      </c>
      <c r="E34" s="8" t="s">
        <v>533</v>
      </c>
      <c r="F34" s="63"/>
      <c r="G34" s="8" t="s">
        <v>117</v>
      </c>
      <c r="I34" s="8" t="s">
        <v>525</v>
      </c>
      <c r="J34" s="8" t="s">
        <v>163</v>
      </c>
      <c r="K34" s="8" t="s">
        <v>182</v>
      </c>
      <c r="L34"/>
      <c r="M34" s="66"/>
      <c r="N34" s="66"/>
    </row>
    <row r="35" spans="1:14" ht="12.75">
      <c r="A35" s="69">
        <f>+A29+1</f>
        <v>9</v>
      </c>
      <c r="B35" s="13" t="s">
        <v>91</v>
      </c>
      <c r="C35" s="13" t="s">
        <v>169</v>
      </c>
      <c r="D35" s="13" t="s">
        <v>89</v>
      </c>
      <c r="E35" s="13" t="s">
        <v>504</v>
      </c>
      <c r="F35" s="63"/>
      <c r="G35" s="13" t="s">
        <v>526</v>
      </c>
      <c r="I35" s="13" t="s">
        <v>526</v>
      </c>
      <c r="J35" s="13" t="s">
        <v>526</v>
      </c>
      <c r="K35" s="13" t="s">
        <v>527</v>
      </c>
      <c r="L35" s="13" t="s">
        <v>40</v>
      </c>
      <c r="M35" s="66"/>
      <c r="N35" s="66"/>
    </row>
    <row r="36" spans="1:14" ht="12.75">
      <c r="A36" s="69"/>
      <c r="B36" s="138"/>
      <c r="C36" s="140"/>
      <c r="D36" s="140"/>
      <c r="E36" s="140"/>
      <c r="F36" s="63"/>
      <c r="G36" s="140"/>
      <c r="I36" s="140"/>
      <c r="J36" s="140"/>
      <c r="K36" s="224"/>
      <c r="L36"/>
      <c r="M36" s="66"/>
      <c r="N36" s="66"/>
    </row>
    <row r="37" spans="1:14" ht="14.25">
      <c r="A37" s="69">
        <f>+A35+1</f>
        <v>10</v>
      </c>
      <c r="B37" s="1340" t="s">
        <v>811</v>
      </c>
      <c r="C37" s="1341" t="s">
        <v>812</v>
      </c>
      <c r="D37" s="1342">
        <v>3484795</v>
      </c>
      <c r="E37" s="93">
        <f>+D37-K37</f>
        <v>0</v>
      </c>
      <c r="F37" s="63"/>
      <c r="G37" s="99"/>
      <c r="I37" s="99">
        <f>+D37</f>
        <v>3484795</v>
      </c>
      <c r="J37" s="99"/>
      <c r="K37" s="99">
        <f aca="true" t="shared" si="0" ref="K37:K44">+G37+I37+J37</f>
        <v>3484795</v>
      </c>
      <c r="L37" t="s">
        <v>534</v>
      </c>
      <c r="M37" s="66"/>
      <c r="N37" s="66"/>
    </row>
    <row r="38" spans="1:14" ht="14.25">
      <c r="A38" s="69">
        <f aca="true" t="shared" si="1" ref="A38:A50">+A37+1</f>
        <v>11</v>
      </c>
      <c r="B38" s="1343">
        <v>165000217</v>
      </c>
      <c r="C38" s="1341" t="s">
        <v>813</v>
      </c>
      <c r="D38" s="1342">
        <v>599413</v>
      </c>
      <c r="E38" s="93">
        <f>D38</f>
        <v>599413</v>
      </c>
      <c r="F38" s="63"/>
      <c r="G38" s="99"/>
      <c r="I38" s="99"/>
      <c r="J38" s="99"/>
      <c r="K38" s="99">
        <f t="shared" si="0"/>
        <v>0</v>
      </c>
      <c r="L38" t="s">
        <v>905</v>
      </c>
      <c r="M38" s="66"/>
      <c r="N38" s="66"/>
    </row>
    <row r="39" spans="1:14" ht="14.25">
      <c r="A39" s="69">
        <f t="shared" si="1"/>
        <v>12</v>
      </c>
      <c r="B39" s="1340" t="s">
        <v>814</v>
      </c>
      <c r="C39" s="1341" t="s">
        <v>815</v>
      </c>
      <c r="D39" s="1342">
        <v>5655</v>
      </c>
      <c r="E39" s="93">
        <f>+D39-K39</f>
        <v>5655</v>
      </c>
      <c r="F39" s="63"/>
      <c r="G39" s="99"/>
      <c r="I39" s="99"/>
      <c r="J39" s="99"/>
      <c r="K39" s="99">
        <f t="shared" si="0"/>
        <v>0</v>
      </c>
      <c r="L39" t="s">
        <v>906</v>
      </c>
      <c r="M39" s="66"/>
      <c r="N39" s="66"/>
    </row>
    <row r="40" spans="1:14" ht="14.25">
      <c r="A40" s="69">
        <f t="shared" si="1"/>
        <v>13</v>
      </c>
      <c r="B40" s="1340" t="s">
        <v>816</v>
      </c>
      <c r="C40" s="1341" t="s">
        <v>817</v>
      </c>
      <c r="D40" s="1342">
        <v>0</v>
      </c>
      <c r="E40" s="99">
        <f>D40</f>
        <v>0</v>
      </c>
      <c r="F40" s="63"/>
      <c r="G40" s="99"/>
      <c r="I40" s="99"/>
      <c r="J40" s="99">
        <v>0</v>
      </c>
      <c r="K40" s="99">
        <f t="shared" si="0"/>
        <v>0</v>
      </c>
      <c r="L40" s="21" t="s">
        <v>116</v>
      </c>
      <c r="M40" s="66"/>
      <c r="N40" s="66"/>
    </row>
    <row r="41" spans="1:14" ht="14.25">
      <c r="A41" s="69">
        <f t="shared" si="1"/>
        <v>14</v>
      </c>
      <c r="B41" s="1340" t="s">
        <v>818</v>
      </c>
      <c r="C41" s="1341" t="s">
        <v>819</v>
      </c>
      <c r="D41" s="1342">
        <v>1608304</v>
      </c>
      <c r="E41" s="135">
        <f>D41</f>
        <v>1608304</v>
      </c>
      <c r="F41" s="63"/>
      <c r="G41" s="135"/>
      <c r="I41" s="135"/>
      <c r="J41" s="135"/>
      <c r="K41" s="135">
        <f t="shared" si="0"/>
        <v>0</v>
      </c>
      <c r="L41" s="21" t="s">
        <v>907</v>
      </c>
      <c r="M41" s="66"/>
      <c r="N41" s="66"/>
    </row>
    <row r="42" spans="1:14" ht="14.25">
      <c r="A42" s="69">
        <f t="shared" si="1"/>
        <v>15</v>
      </c>
      <c r="B42" s="1340" t="s">
        <v>820</v>
      </c>
      <c r="C42" s="1341" t="s">
        <v>821</v>
      </c>
      <c r="D42" s="1342">
        <v>101434</v>
      </c>
      <c r="E42" s="99">
        <f>+D42-K42</f>
        <v>101434</v>
      </c>
      <c r="F42" s="63"/>
      <c r="G42" s="99"/>
      <c r="I42" s="99"/>
      <c r="J42" s="99"/>
      <c r="K42" s="135">
        <f t="shared" si="0"/>
        <v>0</v>
      </c>
      <c r="L42" s="21" t="s">
        <v>908</v>
      </c>
      <c r="M42" s="66"/>
      <c r="N42" s="66"/>
    </row>
    <row r="43" spans="1:14" ht="14.25">
      <c r="A43" s="69">
        <f t="shared" si="1"/>
        <v>16</v>
      </c>
      <c r="B43" s="1340" t="s">
        <v>822</v>
      </c>
      <c r="C43" s="1341" t="s">
        <v>823</v>
      </c>
      <c r="D43" s="1342">
        <v>107227540</v>
      </c>
      <c r="E43" s="99"/>
      <c r="F43" s="63"/>
      <c r="G43" s="99"/>
      <c r="I43" s="99"/>
      <c r="J43" s="99">
        <f>D43</f>
        <v>107227540</v>
      </c>
      <c r="K43" s="135">
        <f t="shared" si="0"/>
        <v>107227540</v>
      </c>
      <c r="L43" s="5" t="s">
        <v>528</v>
      </c>
      <c r="M43" s="66"/>
      <c r="N43" s="66"/>
    </row>
    <row r="44" spans="1:14" ht="14.25">
      <c r="A44" s="69">
        <f t="shared" si="1"/>
        <v>17</v>
      </c>
      <c r="B44" s="1340" t="s">
        <v>824</v>
      </c>
      <c r="C44" s="1341" t="s">
        <v>825</v>
      </c>
      <c r="D44" s="1342">
        <v>-107227540</v>
      </c>
      <c r="E44" s="99">
        <f>D44</f>
        <v>-107227540</v>
      </c>
      <c r="F44" s="63"/>
      <c r="G44" s="99"/>
      <c r="I44" s="99"/>
      <c r="J44" s="99"/>
      <c r="K44" s="135">
        <f t="shared" si="0"/>
        <v>0</v>
      </c>
      <c r="L44" s="21" t="s">
        <v>31</v>
      </c>
      <c r="M44" s="66"/>
      <c r="N44" s="66"/>
    </row>
    <row r="45" spans="1:14" ht="14.25">
      <c r="A45" s="69">
        <f t="shared" si="1"/>
        <v>18</v>
      </c>
      <c r="B45" s="1344">
        <v>165001117</v>
      </c>
      <c r="C45" s="1341" t="s">
        <v>829</v>
      </c>
      <c r="D45" s="1342">
        <v>502812</v>
      </c>
      <c r="E45" s="135">
        <f>D45</f>
        <v>502812</v>
      </c>
      <c r="F45" s="63"/>
      <c r="G45" s="135"/>
      <c r="I45" s="135"/>
      <c r="J45" s="135"/>
      <c r="K45" s="135">
        <f aca="true" t="shared" si="2" ref="K45:K52">+G45+I45+J45</f>
        <v>0</v>
      </c>
      <c r="L45" s="1345" t="s">
        <v>909</v>
      </c>
      <c r="M45" s="66"/>
      <c r="N45" s="66"/>
    </row>
    <row r="46" spans="1:14" ht="14.25">
      <c r="A46" s="69">
        <f t="shared" si="1"/>
        <v>19</v>
      </c>
      <c r="B46" s="1344">
        <v>165001217</v>
      </c>
      <c r="C46" s="1341" t="s">
        <v>896</v>
      </c>
      <c r="D46" s="1342">
        <v>90374</v>
      </c>
      <c r="E46" s="135">
        <f>D46</f>
        <v>90374</v>
      </c>
      <c r="F46" s="63"/>
      <c r="G46" s="135"/>
      <c r="I46" s="135"/>
      <c r="J46" s="135"/>
      <c r="K46" s="135">
        <f t="shared" si="2"/>
        <v>0</v>
      </c>
      <c r="L46" s="1345" t="s">
        <v>910</v>
      </c>
      <c r="M46" s="66"/>
      <c r="N46" s="66"/>
    </row>
    <row r="47" spans="1:14" ht="14.25">
      <c r="A47" s="69">
        <f t="shared" si="1"/>
        <v>20</v>
      </c>
      <c r="B47" s="1344">
        <v>1650021</v>
      </c>
      <c r="C47" s="1341" t="s">
        <v>826</v>
      </c>
      <c r="D47" s="1342">
        <v>1270125</v>
      </c>
      <c r="E47" s="135">
        <f>+D47-K47</f>
        <v>0</v>
      </c>
      <c r="F47" s="63"/>
      <c r="G47" s="135"/>
      <c r="I47" s="135">
        <f>+D47</f>
        <v>1270125</v>
      </c>
      <c r="J47" s="135"/>
      <c r="K47" s="135">
        <f t="shared" si="2"/>
        <v>1270125</v>
      </c>
      <c r="L47" s="1345" t="s">
        <v>911</v>
      </c>
      <c r="M47" s="66"/>
      <c r="N47" s="66"/>
    </row>
    <row r="48" spans="1:14" ht="14.25">
      <c r="A48" s="69">
        <f t="shared" si="1"/>
        <v>21</v>
      </c>
      <c r="B48" s="1344">
        <v>1650022</v>
      </c>
      <c r="C48" s="1341" t="s">
        <v>897</v>
      </c>
      <c r="D48" s="1342">
        <v>0</v>
      </c>
      <c r="E48" s="135">
        <f>D48</f>
        <v>0</v>
      </c>
      <c r="F48" s="63"/>
      <c r="G48" s="135"/>
      <c r="I48" s="135"/>
      <c r="J48" s="135"/>
      <c r="K48" s="135">
        <f t="shared" si="2"/>
        <v>0</v>
      </c>
      <c r="L48" s="63" t="s">
        <v>116</v>
      </c>
      <c r="M48" s="66"/>
      <c r="N48" s="66"/>
    </row>
    <row r="49" spans="1:14" ht="14.25">
      <c r="A49" s="69">
        <f t="shared" si="1"/>
        <v>22</v>
      </c>
      <c r="B49" s="1344">
        <v>1650023</v>
      </c>
      <c r="C49" s="1341" t="s">
        <v>827</v>
      </c>
      <c r="D49" s="1342">
        <v>288555</v>
      </c>
      <c r="E49" s="135"/>
      <c r="F49" s="63"/>
      <c r="G49" s="135"/>
      <c r="I49" s="135">
        <f>D49</f>
        <v>288555</v>
      </c>
      <c r="J49" s="135"/>
      <c r="K49" s="135">
        <f t="shared" si="2"/>
        <v>288555</v>
      </c>
      <c r="L49" s="1353" t="s">
        <v>915</v>
      </c>
      <c r="M49" s="66"/>
      <c r="N49" s="66"/>
    </row>
    <row r="50" spans="1:14" ht="14.25">
      <c r="A50" s="69">
        <f t="shared" si="1"/>
        <v>23</v>
      </c>
      <c r="B50" s="1344">
        <v>1650026</v>
      </c>
      <c r="C50" s="1341" t="s">
        <v>898</v>
      </c>
      <c r="D50" s="1342">
        <v>0</v>
      </c>
      <c r="E50" s="135">
        <v>0</v>
      </c>
      <c r="F50" s="63"/>
      <c r="G50" s="135"/>
      <c r="I50" s="135"/>
      <c r="J50" s="135"/>
      <c r="K50" s="135">
        <f t="shared" si="2"/>
        <v>0</v>
      </c>
      <c r="L50" s="5"/>
      <c r="M50" s="66"/>
      <c r="N50" s="66"/>
    </row>
    <row r="51" spans="1:14" ht="14.25">
      <c r="A51" s="69">
        <f aca="true" t="shared" si="3" ref="A51:A57">A50+1</f>
        <v>24</v>
      </c>
      <c r="B51" s="1344">
        <v>1650030</v>
      </c>
      <c r="C51" s="1341" t="s">
        <v>819</v>
      </c>
      <c r="D51" s="1342">
        <v>289875</v>
      </c>
      <c r="E51" s="135">
        <f>D51</f>
        <v>289875</v>
      </c>
      <c r="F51" s="63"/>
      <c r="G51" s="135"/>
      <c r="I51" s="135"/>
      <c r="J51" s="135"/>
      <c r="K51" s="135">
        <f t="shared" si="2"/>
        <v>0</v>
      </c>
      <c r="L51" t="s">
        <v>912</v>
      </c>
      <c r="M51" s="66"/>
      <c r="N51" s="66"/>
    </row>
    <row r="52" spans="1:14" ht="14.25">
      <c r="A52" s="69">
        <f t="shared" si="3"/>
        <v>25</v>
      </c>
      <c r="B52" s="1344">
        <v>1650031</v>
      </c>
      <c r="C52" s="1341" t="s">
        <v>828</v>
      </c>
      <c r="D52" s="1341">
        <v>0</v>
      </c>
      <c r="E52" s="135">
        <v>0</v>
      </c>
      <c r="F52" s="63"/>
      <c r="G52" s="99"/>
      <c r="I52" s="99"/>
      <c r="J52" s="99"/>
      <c r="K52" s="135">
        <f t="shared" si="2"/>
        <v>0</v>
      </c>
      <c r="L52" s="5" t="s">
        <v>116</v>
      </c>
      <c r="M52" s="66"/>
      <c r="N52" s="66"/>
    </row>
    <row r="53" spans="1:14" ht="14.25">
      <c r="A53" s="69">
        <f t="shared" si="3"/>
        <v>26</v>
      </c>
      <c r="B53" s="1344">
        <v>1650033</v>
      </c>
      <c r="C53" s="1341" t="s">
        <v>899</v>
      </c>
      <c r="D53" s="1342">
        <v>0</v>
      </c>
      <c r="E53" s="135"/>
      <c r="F53" s="63"/>
      <c r="G53" s="99"/>
      <c r="I53" s="99"/>
      <c r="J53" s="99"/>
      <c r="K53" s="135">
        <f>J53</f>
        <v>0</v>
      </c>
      <c r="L53" s="5" t="s">
        <v>116</v>
      </c>
      <c r="M53" s="66"/>
      <c r="N53" s="66"/>
    </row>
    <row r="54" spans="1:14" ht="14.25">
      <c r="A54" s="69">
        <f t="shared" si="3"/>
        <v>27</v>
      </c>
      <c r="B54" s="1344">
        <v>1650035</v>
      </c>
      <c r="C54" s="1341" t="s">
        <v>900</v>
      </c>
      <c r="D54" s="1342">
        <v>42734856</v>
      </c>
      <c r="E54" s="135"/>
      <c r="F54" s="63"/>
      <c r="G54" s="99"/>
      <c r="I54" s="99"/>
      <c r="J54" s="99">
        <f>D54</f>
        <v>42734856</v>
      </c>
      <c r="K54" s="135">
        <f>J54</f>
        <v>42734856</v>
      </c>
      <c r="L54" s="5" t="s">
        <v>913</v>
      </c>
      <c r="M54" s="66"/>
      <c r="N54" s="66"/>
    </row>
    <row r="55" spans="1:14" ht="14.25">
      <c r="A55" s="69">
        <f t="shared" si="3"/>
        <v>28</v>
      </c>
      <c r="B55" s="1344">
        <v>1650036</v>
      </c>
      <c r="C55" s="1341" t="s">
        <v>901</v>
      </c>
      <c r="D55" s="1342">
        <v>0</v>
      </c>
      <c r="E55" s="135">
        <f>D55</f>
        <v>0</v>
      </c>
      <c r="F55" s="63"/>
      <c r="G55" s="99"/>
      <c r="I55" s="99"/>
      <c r="J55" s="99"/>
      <c r="K55" s="135"/>
      <c r="L55" s="5" t="s">
        <v>116</v>
      </c>
      <c r="M55" s="66"/>
      <c r="N55" s="66"/>
    </row>
    <row r="56" spans="1:14" ht="14.25">
      <c r="A56" s="69">
        <f t="shared" si="3"/>
        <v>29</v>
      </c>
      <c r="B56" s="1344">
        <v>1650037</v>
      </c>
      <c r="C56" s="1341" t="s">
        <v>902</v>
      </c>
      <c r="D56" s="1342">
        <v>-42734856</v>
      </c>
      <c r="E56" s="135">
        <f>D56</f>
        <v>-42734856</v>
      </c>
      <c r="F56" s="63"/>
      <c r="G56" s="99">
        <v>0</v>
      </c>
      <c r="I56" s="99"/>
      <c r="J56" s="99"/>
      <c r="K56" s="135">
        <f>I56</f>
        <v>0</v>
      </c>
      <c r="L56" s="21" t="s">
        <v>31</v>
      </c>
      <c r="M56" s="66"/>
      <c r="N56" s="66"/>
    </row>
    <row r="57" spans="1:14" ht="14.25">
      <c r="A57" s="69">
        <f t="shared" si="3"/>
        <v>30</v>
      </c>
      <c r="B57" s="1344">
        <v>1650032</v>
      </c>
      <c r="C57" s="1341" t="s">
        <v>903</v>
      </c>
      <c r="D57" s="1342">
        <v>0</v>
      </c>
      <c r="E57" s="135"/>
      <c r="F57" s="63"/>
      <c r="G57" s="99"/>
      <c r="I57" s="99"/>
      <c r="J57" s="99"/>
      <c r="K57" s="135"/>
      <c r="L57" s="1346" t="s">
        <v>116</v>
      </c>
      <c r="M57" s="66"/>
      <c r="N57" s="66"/>
    </row>
    <row r="58" spans="1:14" ht="15" thickBot="1">
      <c r="A58" s="69">
        <f>A57+1</f>
        <v>31</v>
      </c>
      <c r="B58" s="1344">
        <v>1650034</v>
      </c>
      <c r="C58" s="1341" t="s">
        <v>904</v>
      </c>
      <c r="D58" s="1342">
        <v>0</v>
      </c>
      <c r="E58" s="135">
        <f>D58</f>
        <v>0</v>
      </c>
      <c r="F58" s="63"/>
      <c r="G58" s="99">
        <v>0</v>
      </c>
      <c r="I58" s="99"/>
      <c r="J58" s="99"/>
      <c r="K58" s="135">
        <f>G58</f>
        <v>0</v>
      </c>
      <c r="L58" s="1346" t="s">
        <v>116</v>
      </c>
      <c r="M58" s="66"/>
      <c r="N58" s="66"/>
    </row>
    <row r="59" spans="1:14" ht="14.25">
      <c r="A59" s="69"/>
      <c r="B59" s="138"/>
      <c r="C59" s="35" t="s">
        <v>505</v>
      </c>
      <c r="D59" s="840">
        <f>SUM(D37:D58)</f>
        <v>8241342</v>
      </c>
      <c r="E59" s="232">
        <f>SUM(E37:E58)</f>
        <v>-146764529</v>
      </c>
      <c r="F59" s="63"/>
      <c r="G59" s="143">
        <f>SUM(G37:G58)</f>
        <v>0</v>
      </c>
      <c r="I59" s="143">
        <f>SUM(I37:I58)</f>
        <v>5043475</v>
      </c>
      <c r="J59" s="143">
        <f>SUM(J37:J58)</f>
        <v>149962396</v>
      </c>
      <c r="K59" s="143">
        <f>SUM(K37:K58)</f>
        <v>155005871</v>
      </c>
      <c r="L59"/>
      <c r="M59" s="66"/>
      <c r="N59" s="66"/>
    </row>
    <row r="60" spans="1:14" ht="12.75">
      <c r="A60" s="69"/>
      <c r="K60" s="144"/>
      <c r="L60"/>
      <c r="M60" s="66"/>
      <c r="N60" s="66"/>
    </row>
    <row r="61" spans="1:15" ht="12.75">
      <c r="A61" s="69"/>
      <c r="B61"/>
      <c r="C61"/>
      <c r="D61"/>
      <c r="E61"/>
      <c r="F61"/>
      <c r="G61"/>
      <c r="H61"/>
      <c r="I61"/>
      <c r="J61"/>
      <c r="K61"/>
      <c r="L61"/>
      <c r="M61" s="21"/>
      <c r="N61" s="21"/>
      <c r="O61"/>
    </row>
    <row r="62" spans="1:15" ht="18">
      <c r="A62" s="69"/>
      <c r="B62" s="1498" t="str">
        <f>"Prepayments Account 165 - Balance @ 12/31/ "&amp;D64&amp;""</f>
        <v>Prepayments Account 165 - Balance @ 12/31/ 2016</v>
      </c>
      <c r="C62" s="1498"/>
      <c r="D62" s="1498"/>
      <c r="E62" s="1498"/>
      <c r="F62" s="1498"/>
      <c r="G62" s="1498"/>
      <c r="H62" s="1498"/>
      <c r="I62" s="1498"/>
      <c r="J62" s="1498"/>
      <c r="K62" s="75"/>
      <c r="L62" s="76"/>
      <c r="M62" s="66"/>
      <c r="N62" s="21"/>
      <c r="O62"/>
    </row>
    <row r="63" spans="1:15" ht="12.75">
      <c r="A63" s="69"/>
      <c r="B63" s="245"/>
      <c r="C63" s="246"/>
      <c r="D63" s="247"/>
      <c r="E63" s="10"/>
      <c r="F63" s="63"/>
      <c r="G63" s="10" t="s">
        <v>88</v>
      </c>
      <c r="I63" s="8" t="s">
        <v>117</v>
      </c>
      <c r="J63" s="8" t="s">
        <v>117</v>
      </c>
      <c r="K63" s="8" t="s">
        <v>181</v>
      </c>
      <c r="L63"/>
      <c r="M63" s="66"/>
      <c r="N63" s="21"/>
      <c r="O63"/>
    </row>
    <row r="64" spans="1:15" ht="12.75">
      <c r="A64" s="69"/>
      <c r="B64" s="245"/>
      <c r="C64" s="248"/>
      <c r="D64" s="8" t="str">
        <f>""&amp;'I&amp;M TCOS'!L2-1</f>
        <v>2016</v>
      </c>
      <c r="E64" s="8" t="s">
        <v>533</v>
      </c>
      <c r="F64" s="63"/>
      <c r="G64" s="8" t="s">
        <v>117</v>
      </c>
      <c r="I64" s="8" t="s">
        <v>525</v>
      </c>
      <c r="J64" s="8" t="s">
        <v>163</v>
      </c>
      <c r="K64" s="8" t="s">
        <v>182</v>
      </c>
      <c r="L64"/>
      <c r="M64" s="66"/>
      <c r="N64" s="21"/>
      <c r="O64"/>
    </row>
    <row r="65" spans="1:15" ht="12.75">
      <c r="A65" s="69">
        <f>A58+1</f>
        <v>32</v>
      </c>
      <c r="B65" s="13" t="s">
        <v>91</v>
      </c>
      <c r="C65" s="13" t="s">
        <v>169</v>
      </c>
      <c r="D65" s="13" t="s">
        <v>89</v>
      </c>
      <c r="E65" s="13" t="s">
        <v>504</v>
      </c>
      <c r="F65" s="63"/>
      <c r="G65" s="13" t="s">
        <v>526</v>
      </c>
      <c r="I65" s="13" t="s">
        <v>526</v>
      </c>
      <c r="J65" s="13" t="s">
        <v>526</v>
      </c>
      <c r="K65" s="13" t="s">
        <v>527</v>
      </c>
      <c r="L65" s="13" t="s">
        <v>40</v>
      </c>
      <c r="M65" s="66"/>
      <c r="N65" s="21"/>
      <c r="O65"/>
    </row>
    <row r="66" spans="1:15" ht="12.75">
      <c r="A66" s="69"/>
      <c r="B66" s="138"/>
      <c r="C66" s="140"/>
      <c r="D66" s="140"/>
      <c r="E66" s="140"/>
      <c r="F66" s="63"/>
      <c r="G66" s="140"/>
      <c r="I66" s="140"/>
      <c r="J66" s="140"/>
      <c r="K66" s="140"/>
      <c r="L66"/>
      <c r="M66" s="66"/>
      <c r="N66" s="21"/>
      <c r="O66"/>
    </row>
    <row r="67" spans="1:15" ht="14.25">
      <c r="A67" s="69">
        <f>+A65+1</f>
        <v>33</v>
      </c>
      <c r="B67" s="29" t="s">
        <v>811</v>
      </c>
      <c r="C67" s="1347" t="s">
        <v>812</v>
      </c>
      <c r="D67" s="1348">
        <v>3520482</v>
      </c>
      <c r="E67" s="93">
        <f>+D67-K67</f>
        <v>0</v>
      </c>
      <c r="F67" s="63"/>
      <c r="G67" s="99"/>
      <c r="I67" s="99">
        <f>+D67</f>
        <v>3520482</v>
      </c>
      <c r="J67" s="99"/>
      <c r="K67" s="99">
        <f aca="true" t="shared" si="4" ref="K67:K78">+G67+I67+J67</f>
        <v>3520482</v>
      </c>
      <c r="L67" t="s">
        <v>534</v>
      </c>
      <c r="M67" s="66"/>
      <c r="N67" s="21"/>
      <c r="O67"/>
    </row>
    <row r="68" spans="1:15" ht="14.25">
      <c r="A68" s="69">
        <f aca="true" t="shared" si="5" ref="A68:A86">+A67+1</f>
        <v>34</v>
      </c>
      <c r="B68" s="1349">
        <v>165000215</v>
      </c>
      <c r="C68" s="1347" t="s">
        <v>813</v>
      </c>
      <c r="D68" s="1348">
        <v>0</v>
      </c>
      <c r="E68" s="93">
        <f>D68</f>
        <v>0</v>
      </c>
      <c r="F68" s="63"/>
      <c r="G68" s="99"/>
      <c r="I68" s="99"/>
      <c r="J68" s="99"/>
      <c r="K68" s="99">
        <f t="shared" si="4"/>
        <v>0</v>
      </c>
      <c r="L68" t="s">
        <v>116</v>
      </c>
      <c r="M68" s="66"/>
      <c r="N68" s="21"/>
      <c r="O68"/>
    </row>
    <row r="69" spans="1:15" ht="14.25">
      <c r="A69" s="69">
        <f t="shared" si="5"/>
        <v>35</v>
      </c>
      <c r="B69" s="29" t="s">
        <v>814</v>
      </c>
      <c r="C69" s="1347" t="s">
        <v>815</v>
      </c>
      <c r="D69" s="1348">
        <v>5655</v>
      </c>
      <c r="E69" s="93">
        <f>D69</f>
        <v>5655</v>
      </c>
      <c r="F69" s="63"/>
      <c r="G69" s="99"/>
      <c r="I69" s="99"/>
      <c r="J69" s="99"/>
      <c r="K69" s="99">
        <f t="shared" si="4"/>
        <v>0</v>
      </c>
      <c r="L69" t="s">
        <v>906</v>
      </c>
      <c r="M69" s="66"/>
      <c r="N69" s="21"/>
      <c r="O69"/>
    </row>
    <row r="70" spans="1:15" ht="14.25">
      <c r="A70" s="69">
        <f t="shared" si="5"/>
        <v>36</v>
      </c>
      <c r="B70" s="29" t="s">
        <v>816</v>
      </c>
      <c r="C70" s="1347" t="s">
        <v>817</v>
      </c>
      <c r="D70" s="1348">
        <v>474000</v>
      </c>
      <c r="E70" s="99">
        <v>0</v>
      </c>
      <c r="F70" s="63"/>
      <c r="G70" s="99"/>
      <c r="I70" s="99"/>
      <c r="J70" s="99">
        <f>D70</f>
        <v>474000</v>
      </c>
      <c r="K70" s="99">
        <f t="shared" si="4"/>
        <v>474000</v>
      </c>
      <c r="L70" s="21" t="s">
        <v>535</v>
      </c>
      <c r="M70" s="66"/>
      <c r="N70" s="21"/>
      <c r="O70"/>
    </row>
    <row r="71" spans="1:15" ht="14.25">
      <c r="A71" s="69">
        <f t="shared" si="5"/>
        <v>37</v>
      </c>
      <c r="B71" s="29" t="s">
        <v>818</v>
      </c>
      <c r="C71" s="1347" t="s">
        <v>819</v>
      </c>
      <c r="D71" s="1348">
        <v>1022171</v>
      </c>
      <c r="E71" s="135">
        <f>D71</f>
        <v>1022171</v>
      </c>
      <c r="F71" s="63"/>
      <c r="G71" s="135"/>
      <c r="I71" s="135"/>
      <c r="J71" s="135"/>
      <c r="K71" s="99">
        <f t="shared" si="4"/>
        <v>0</v>
      </c>
      <c r="L71" s="21" t="s">
        <v>907</v>
      </c>
      <c r="M71" s="66"/>
      <c r="N71" s="21"/>
      <c r="O71"/>
    </row>
    <row r="72" spans="1:15" ht="14.25">
      <c r="A72" s="69">
        <f t="shared" si="5"/>
        <v>38</v>
      </c>
      <c r="B72" s="29" t="s">
        <v>820</v>
      </c>
      <c r="C72" s="1347" t="s">
        <v>821</v>
      </c>
      <c r="D72" s="1348">
        <v>107325</v>
      </c>
      <c r="E72" s="99">
        <f>D72</f>
        <v>107325</v>
      </c>
      <c r="F72" s="63"/>
      <c r="G72" s="99"/>
      <c r="I72" s="99"/>
      <c r="J72" s="135"/>
      <c r="K72" s="99">
        <f t="shared" si="4"/>
        <v>0</v>
      </c>
      <c r="L72" s="21" t="s">
        <v>908</v>
      </c>
      <c r="M72" s="66"/>
      <c r="N72" s="21"/>
      <c r="O72"/>
    </row>
    <row r="73" spans="1:15" ht="14.25">
      <c r="A73" s="69">
        <f t="shared" si="5"/>
        <v>39</v>
      </c>
      <c r="B73" s="29" t="s">
        <v>822</v>
      </c>
      <c r="C73" s="1347" t="s">
        <v>823</v>
      </c>
      <c r="D73" s="1348">
        <v>107658719</v>
      </c>
      <c r="E73" s="99"/>
      <c r="F73" s="63"/>
      <c r="G73" s="99"/>
      <c r="I73" s="99"/>
      <c r="J73" s="99">
        <f>D73</f>
        <v>107658719</v>
      </c>
      <c r="K73" s="99">
        <f t="shared" si="4"/>
        <v>107658719</v>
      </c>
      <c r="L73" s="5" t="s">
        <v>528</v>
      </c>
      <c r="M73" s="66"/>
      <c r="N73" s="21"/>
      <c r="O73"/>
    </row>
    <row r="74" spans="1:15" ht="14.25">
      <c r="A74" s="69">
        <f t="shared" si="5"/>
        <v>40</v>
      </c>
      <c r="B74" s="29" t="s">
        <v>824</v>
      </c>
      <c r="C74" s="1347" t="s">
        <v>825</v>
      </c>
      <c r="D74" s="1348">
        <v>-107658719</v>
      </c>
      <c r="E74" s="99">
        <f>D74</f>
        <v>-107658719</v>
      </c>
      <c r="F74" s="63"/>
      <c r="G74" s="99"/>
      <c r="I74" s="99"/>
      <c r="J74" s="99">
        <v>0</v>
      </c>
      <c r="K74" s="99">
        <f t="shared" si="4"/>
        <v>0</v>
      </c>
      <c r="L74" s="21" t="s">
        <v>31</v>
      </c>
      <c r="M74" s="66"/>
      <c r="N74" s="21"/>
      <c r="O74"/>
    </row>
    <row r="75" spans="1:15" ht="14.25">
      <c r="A75" s="69">
        <f t="shared" si="5"/>
        <v>41</v>
      </c>
      <c r="B75" s="1350">
        <v>16500021</v>
      </c>
      <c r="C75" s="1347" t="s">
        <v>813</v>
      </c>
      <c r="D75" s="1348">
        <v>464897</v>
      </c>
      <c r="E75" s="135">
        <f>D75</f>
        <v>464897</v>
      </c>
      <c r="F75" s="63"/>
      <c r="G75" s="135"/>
      <c r="I75" s="135"/>
      <c r="J75" s="99"/>
      <c r="K75" s="99">
        <f t="shared" si="4"/>
        <v>0</v>
      </c>
      <c r="L75" s="1345" t="s">
        <v>914</v>
      </c>
      <c r="M75" s="66"/>
      <c r="N75" s="21"/>
      <c r="O75"/>
    </row>
    <row r="76" spans="1:15" ht="14.25">
      <c r="A76" s="69">
        <f t="shared" si="5"/>
        <v>42</v>
      </c>
      <c r="B76" s="1350">
        <v>16500111</v>
      </c>
      <c r="C76" s="1347" t="s">
        <v>829</v>
      </c>
      <c r="D76" s="1348">
        <v>462101</v>
      </c>
      <c r="E76" s="135">
        <f>D76</f>
        <v>462101</v>
      </c>
      <c r="F76" s="63"/>
      <c r="G76" s="135"/>
      <c r="I76" s="135"/>
      <c r="J76" s="135"/>
      <c r="K76" s="99">
        <f t="shared" si="4"/>
        <v>0</v>
      </c>
      <c r="L76" s="1345" t="s">
        <v>909</v>
      </c>
      <c r="M76" s="66"/>
      <c r="N76" s="21"/>
      <c r="O76"/>
    </row>
    <row r="77" spans="1:15" ht="14.25">
      <c r="A77" s="69">
        <f t="shared" si="5"/>
        <v>43</v>
      </c>
      <c r="B77" s="1350">
        <v>16500121</v>
      </c>
      <c r="C77" s="1347" t="s">
        <v>896</v>
      </c>
      <c r="D77" s="1348">
        <v>127891</v>
      </c>
      <c r="E77" s="135">
        <f>D77</f>
        <v>127891</v>
      </c>
      <c r="F77" s="63"/>
      <c r="G77" s="135"/>
      <c r="I77" s="135"/>
      <c r="J77" s="135"/>
      <c r="K77" s="99">
        <f t="shared" si="4"/>
        <v>0</v>
      </c>
      <c r="L77" s="1345" t="s">
        <v>910</v>
      </c>
      <c r="M77" s="66"/>
      <c r="N77" s="21"/>
      <c r="O77"/>
    </row>
    <row r="78" spans="1:15" ht="14.25">
      <c r="A78" s="69">
        <f t="shared" si="5"/>
        <v>44</v>
      </c>
      <c r="B78" s="1350">
        <v>1650021</v>
      </c>
      <c r="C78" s="1347" t="s">
        <v>826</v>
      </c>
      <c r="D78" s="1348">
        <v>974979</v>
      </c>
      <c r="E78" s="135">
        <v>0</v>
      </c>
      <c r="F78" s="63"/>
      <c r="G78" s="135"/>
      <c r="I78" s="135">
        <f>D78</f>
        <v>974979</v>
      </c>
      <c r="J78" s="135"/>
      <c r="K78" s="99">
        <f t="shared" si="4"/>
        <v>974979</v>
      </c>
      <c r="L78" s="1345" t="s">
        <v>911</v>
      </c>
      <c r="M78" s="66"/>
      <c r="N78" s="21"/>
      <c r="O78"/>
    </row>
    <row r="79" spans="1:15" ht="14.25">
      <c r="A79" s="69">
        <f t="shared" si="5"/>
        <v>45</v>
      </c>
      <c r="B79" s="1350">
        <v>1650022</v>
      </c>
      <c r="C79" s="1347" t="s">
        <v>897</v>
      </c>
      <c r="D79" s="1348">
        <v>0</v>
      </c>
      <c r="E79" s="135">
        <v>0</v>
      </c>
      <c r="F79" s="63"/>
      <c r="G79" s="135"/>
      <c r="I79" s="135">
        <f>D79</f>
        <v>0</v>
      </c>
      <c r="J79" s="135"/>
      <c r="K79" s="135">
        <f>+G79+I79+J79</f>
        <v>0</v>
      </c>
      <c r="L79"/>
      <c r="M79" s="66"/>
      <c r="N79" s="21"/>
      <c r="O79"/>
    </row>
    <row r="80" spans="1:15" ht="14.25">
      <c r="A80" s="69">
        <f t="shared" si="5"/>
        <v>46</v>
      </c>
      <c r="B80" s="1351">
        <v>1650023</v>
      </c>
      <c r="C80" s="1347" t="s">
        <v>827</v>
      </c>
      <c r="D80" s="1348">
        <v>542857</v>
      </c>
      <c r="E80" s="135">
        <v>0</v>
      </c>
      <c r="F80" s="63"/>
      <c r="G80" s="135"/>
      <c r="I80" s="135">
        <f>D80</f>
        <v>542857</v>
      </c>
      <c r="J80" s="135"/>
      <c r="K80" s="135">
        <f>+G80+I80+J80</f>
        <v>542857</v>
      </c>
      <c r="L80" s="1353" t="s">
        <v>915</v>
      </c>
      <c r="M80" s="66"/>
      <c r="N80" s="21"/>
      <c r="O80"/>
    </row>
    <row r="81" spans="1:15" ht="14.25">
      <c r="A81" s="69">
        <f t="shared" si="5"/>
        <v>47</v>
      </c>
      <c r="B81" s="1350">
        <v>1650026</v>
      </c>
      <c r="C81" s="1347" t="s">
        <v>898</v>
      </c>
      <c r="D81" s="1348">
        <v>0</v>
      </c>
      <c r="E81" s="135">
        <f>+D81-K81</f>
        <v>0</v>
      </c>
      <c r="F81" s="63"/>
      <c r="G81" s="135"/>
      <c r="I81" s="135"/>
      <c r="J81" s="135"/>
      <c r="K81" s="135">
        <f>+G81+I81+J81</f>
        <v>0</v>
      </c>
      <c r="L81" s="5"/>
      <c r="M81" s="66"/>
      <c r="N81" s="21"/>
      <c r="O81"/>
    </row>
    <row r="82" spans="1:15" ht="14.25">
      <c r="A82" s="69">
        <f t="shared" si="5"/>
        <v>48</v>
      </c>
      <c r="B82" s="1350">
        <v>1650030</v>
      </c>
      <c r="C82" s="1347" t="s">
        <v>819</v>
      </c>
      <c r="D82" s="1348">
        <v>437896</v>
      </c>
      <c r="E82" s="135">
        <f>D82</f>
        <v>437896</v>
      </c>
      <c r="F82" s="63"/>
      <c r="G82" s="99"/>
      <c r="I82" s="99"/>
      <c r="J82" s="99"/>
      <c r="K82" s="135">
        <f>+G82+I82+J82</f>
        <v>0</v>
      </c>
      <c r="L82" s="5" t="s">
        <v>440</v>
      </c>
      <c r="M82" s="66"/>
      <c r="N82" s="21"/>
      <c r="O82"/>
    </row>
    <row r="83" spans="1:15" ht="14.25">
      <c r="A83" s="69">
        <f t="shared" si="5"/>
        <v>49</v>
      </c>
      <c r="B83" s="1350">
        <v>1650033</v>
      </c>
      <c r="C83" s="1347" t="s">
        <v>899</v>
      </c>
      <c r="D83" s="1348">
        <v>0</v>
      </c>
      <c r="E83" s="135"/>
      <c r="F83" s="63"/>
      <c r="G83" s="99"/>
      <c r="I83" s="99"/>
      <c r="J83" s="99"/>
      <c r="K83" s="135">
        <f>J83</f>
        <v>0</v>
      </c>
      <c r="L83" s="5" t="s">
        <v>116</v>
      </c>
      <c r="M83" s="66"/>
      <c r="N83" s="21"/>
      <c r="O83"/>
    </row>
    <row r="84" spans="1:15" ht="14.25">
      <c r="A84" s="69">
        <f t="shared" si="5"/>
        <v>50</v>
      </c>
      <c r="B84" s="1350">
        <v>1650035</v>
      </c>
      <c r="C84" s="1347" t="s">
        <v>900</v>
      </c>
      <c r="D84" s="1348">
        <v>34093039</v>
      </c>
      <c r="E84" s="135"/>
      <c r="F84" s="63"/>
      <c r="G84" s="99"/>
      <c r="I84" s="99"/>
      <c r="J84" s="99">
        <f>D84</f>
        <v>34093039</v>
      </c>
      <c r="K84" s="135">
        <f>J84</f>
        <v>34093039</v>
      </c>
      <c r="L84" s="5" t="s">
        <v>913</v>
      </c>
      <c r="M84" s="66"/>
      <c r="N84" s="21"/>
      <c r="O84"/>
    </row>
    <row r="85" spans="1:15" ht="14.25">
      <c r="A85" s="69">
        <f t="shared" si="5"/>
        <v>51</v>
      </c>
      <c r="B85" s="1350">
        <v>1650036</v>
      </c>
      <c r="C85" s="1347" t="s">
        <v>901</v>
      </c>
      <c r="D85" s="1348">
        <v>0</v>
      </c>
      <c r="E85" s="135">
        <f>D85</f>
        <v>0</v>
      </c>
      <c r="F85" s="63"/>
      <c r="G85" s="99"/>
      <c r="I85" s="99"/>
      <c r="J85" s="99"/>
      <c r="K85" s="135"/>
      <c r="L85" s="5" t="s">
        <v>116</v>
      </c>
      <c r="M85" s="66"/>
      <c r="N85" s="21"/>
      <c r="O85"/>
    </row>
    <row r="86" spans="1:15" ht="14.25">
      <c r="A86" s="69">
        <f t="shared" si="5"/>
        <v>52</v>
      </c>
      <c r="B86" s="1350">
        <v>1650037</v>
      </c>
      <c r="C86" s="1347" t="s">
        <v>902</v>
      </c>
      <c r="D86" s="1348">
        <v>-34093039</v>
      </c>
      <c r="E86" s="135">
        <f>D86</f>
        <v>-34093039</v>
      </c>
      <c r="F86" s="63"/>
      <c r="G86" s="99"/>
      <c r="I86" s="99"/>
      <c r="J86" s="99"/>
      <c r="K86" s="135">
        <f>G86</f>
        <v>0</v>
      </c>
      <c r="L86" s="21" t="s">
        <v>31</v>
      </c>
      <c r="M86" s="66"/>
      <c r="N86" s="21"/>
      <c r="O86"/>
    </row>
    <row r="87" spans="1:15" ht="14.25">
      <c r="A87" s="69">
        <f>+A86+1</f>
        <v>53</v>
      </c>
      <c r="B87" s="1350">
        <v>1650032</v>
      </c>
      <c r="C87" s="1347" t="s">
        <v>903</v>
      </c>
      <c r="D87" s="1348">
        <v>0</v>
      </c>
      <c r="E87" s="135">
        <f>D87</f>
        <v>0</v>
      </c>
      <c r="F87" s="63"/>
      <c r="G87" s="99"/>
      <c r="I87" s="99"/>
      <c r="J87" s="99"/>
      <c r="K87" s="135">
        <f>G87</f>
        <v>0</v>
      </c>
      <c r="L87" s="1352" t="s">
        <v>116</v>
      </c>
      <c r="M87" s="66"/>
      <c r="N87" s="21"/>
      <c r="O87"/>
    </row>
    <row r="88" spans="1:15" ht="15" thickBot="1">
      <c r="A88" s="69">
        <f>+A87+1</f>
        <v>54</v>
      </c>
      <c r="B88" s="1350">
        <v>1650034</v>
      </c>
      <c r="C88" s="1347" t="s">
        <v>904</v>
      </c>
      <c r="D88" s="1348">
        <v>0</v>
      </c>
      <c r="E88" s="93">
        <f>D88</f>
        <v>0</v>
      </c>
      <c r="F88" s="63"/>
      <c r="G88" s="99"/>
      <c r="I88" s="99"/>
      <c r="J88" s="99"/>
      <c r="K88" s="99"/>
      <c r="L88" s="1352" t="s">
        <v>116</v>
      </c>
      <c r="M88" s="66"/>
      <c r="N88" s="21"/>
      <c r="O88"/>
    </row>
    <row r="89" spans="1:15" ht="14.25">
      <c r="A89" s="69"/>
      <c r="B89" s="138"/>
      <c r="C89" s="35" t="s">
        <v>385</v>
      </c>
      <c r="D89" s="840">
        <f>IF(SUM(D67:D88)=0,"",SUM(D67:D88))-1</f>
        <v>8140253</v>
      </c>
      <c r="E89" s="232">
        <f>IF(SUM(E67:E88)=0,"",SUM(E67:E88))</f>
        <v>-139123822</v>
      </c>
      <c r="F89" s="63"/>
      <c r="G89" s="143">
        <f>IF(SUM(G67:G88)=0,"",SUM(G67:G88))</f>
      </c>
      <c r="I89" s="143">
        <f>IF(SUM(I67:I88)=0,"",SUM(I67:I88))</f>
        <v>5038318</v>
      </c>
      <c r="J89" s="143">
        <f>IF(SUM(J67:J88)=0,"",SUM(J67:J88))</f>
        <v>142225758</v>
      </c>
      <c r="K89" s="143">
        <f>IF(SUM(K67:K88)=0,"",SUM(K67:K88))</f>
        <v>147264076</v>
      </c>
      <c r="L89"/>
      <c r="M89" s="66"/>
      <c r="N89" s="21"/>
      <c r="O89"/>
    </row>
    <row r="90" spans="1:15" ht="12.75">
      <c r="A90" s="69"/>
      <c r="B90" s="69"/>
      <c r="C90"/>
      <c r="D90"/>
      <c r="E90"/>
      <c r="F90"/>
      <c r="G90"/>
      <c r="H90"/>
      <c r="I90"/>
      <c r="J90"/>
      <c r="K90"/>
      <c r="L90"/>
      <c r="M90" s="21"/>
      <c r="N90" s="21"/>
      <c r="O90"/>
    </row>
    <row r="91" spans="1:15" ht="18.75" customHeight="1">
      <c r="A91" s="69" t="s">
        <v>622</v>
      </c>
      <c r="B91" s="1496" t="s">
        <v>768</v>
      </c>
      <c r="C91" s="1496"/>
      <c r="D91" s="1496"/>
      <c r="E91" s="1496"/>
      <c r="F91" s="1496"/>
      <c r="G91" s="1496"/>
      <c r="H91" s="1496"/>
      <c r="I91" s="1496"/>
      <c r="J91" s="1496"/>
      <c r="K91" s="1496"/>
      <c r="L91" s="1496"/>
      <c r="M91" s="21"/>
      <c r="N91" s="21"/>
      <c r="O91"/>
    </row>
    <row r="92" spans="1:15" ht="18.75" customHeight="1">
      <c r="A92" s="5"/>
      <c r="B92" s="1496"/>
      <c r="C92" s="1496"/>
      <c r="D92" s="1496"/>
      <c r="E92" s="1496"/>
      <c r="F92" s="1496"/>
      <c r="G92" s="1496"/>
      <c r="H92" s="1496"/>
      <c r="I92" s="1496"/>
      <c r="J92" s="1496"/>
      <c r="K92" s="1496"/>
      <c r="L92" s="1496"/>
      <c r="M92" s="21"/>
      <c r="N92" s="21"/>
      <c r="O92"/>
    </row>
    <row r="93" spans="5:14" ht="18">
      <c r="E93" s="889"/>
      <c r="F93" s="889"/>
      <c r="G93" s="889"/>
      <c r="H93" s="889"/>
      <c r="I93" s="889"/>
      <c r="J93" s="889"/>
      <c r="K93" s="889"/>
      <c r="L93" s="76"/>
      <c r="M93" s="66"/>
      <c r="N93" s="66"/>
    </row>
    <row r="94" spans="5:9" ht="12.75" customHeight="1">
      <c r="E94" s="8"/>
      <c r="F94" s="63"/>
      <c r="G94" s="8"/>
      <c r="H94" s="66"/>
      <c r="I94" s="66"/>
    </row>
    <row r="95" spans="5:10" ht="12.75">
      <c r="E95" s="8"/>
      <c r="G95" s="8"/>
      <c r="H95" s="21"/>
      <c r="I95" s="21"/>
      <c r="J95"/>
    </row>
    <row r="96" spans="5:10" ht="12.75">
      <c r="E96" s="13"/>
      <c r="G96" s="13"/>
      <c r="H96" s="21"/>
      <c r="I96" s="21"/>
      <c r="J96"/>
    </row>
    <row r="97" spans="5:15" ht="12.75">
      <c r="E97"/>
      <c r="F97"/>
      <c r="G97"/>
      <c r="H97"/>
      <c r="I97"/>
      <c r="J97"/>
      <c r="K97"/>
      <c r="L97"/>
      <c r="M97" s="21"/>
      <c r="N97" s="21"/>
      <c r="O97"/>
    </row>
    <row r="98" spans="5:15" ht="12.75">
      <c r="E98"/>
      <c r="F98"/>
      <c r="G98"/>
      <c r="H98"/>
      <c r="I98"/>
      <c r="J98"/>
      <c r="K98"/>
      <c r="L98"/>
      <c r="M98" s="21"/>
      <c r="N98" s="21"/>
      <c r="O98"/>
    </row>
    <row r="99" spans="5:15" ht="12.75">
      <c r="E99"/>
      <c r="F99"/>
      <c r="G99"/>
      <c r="H99"/>
      <c r="I99"/>
      <c r="J99"/>
      <c r="K99"/>
      <c r="L99"/>
      <c r="M99" s="21"/>
      <c r="N99" s="21"/>
      <c r="O99"/>
    </row>
    <row r="100" spans="1:15" ht="12.75">
      <c r="A100"/>
      <c r="B100"/>
      <c r="C100"/>
      <c r="D100"/>
      <c r="E100"/>
      <c r="F100"/>
      <c r="G100"/>
      <c r="H100"/>
      <c r="I100"/>
      <c r="J100"/>
      <c r="K100"/>
      <c r="L100"/>
      <c r="M100" s="21"/>
      <c r="N100" s="21"/>
      <c r="O100"/>
    </row>
    <row r="101" spans="1:15" ht="12.75">
      <c r="A101"/>
      <c r="B101"/>
      <c r="C101"/>
      <c r="D101"/>
      <c r="E101"/>
      <c r="F101"/>
      <c r="G101"/>
      <c r="H101"/>
      <c r="I101"/>
      <c r="J101"/>
      <c r="K101"/>
      <c r="L101"/>
      <c r="M101" s="21"/>
      <c r="N101" s="21"/>
      <c r="O101"/>
    </row>
    <row r="102" spans="1:15" ht="12.75">
      <c r="A102"/>
      <c r="B102"/>
      <c r="C102"/>
      <c r="D102"/>
      <c r="E102"/>
      <c r="F102"/>
      <c r="G102"/>
      <c r="H102"/>
      <c r="I102"/>
      <c r="J102"/>
      <c r="K102"/>
      <c r="L102"/>
      <c r="M102" s="21"/>
      <c r="N102" s="21"/>
      <c r="O102"/>
    </row>
    <row r="103" spans="1:15" ht="12.75">
      <c r="A103"/>
      <c r="B103"/>
      <c r="C103"/>
      <c r="D103"/>
      <c r="E103"/>
      <c r="F103"/>
      <c r="G103"/>
      <c r="H103"/>
      <c r="I103"/>
      <c r="J103"/>
      <c r="K103"/>
      <c r="L103"/>
      <c r="M103" s="21"/>
      <c r="N103" s="21"/>
      <c r="O103"/>
    </row>
    <row r="104" spans="1:15" ht="12.75">
      <c r="A104"/>
      <c r="B104"/>
      <c r="C104"/>
      <c r="D104"/>
      <c r="E104"/>
      <c r="F104"/>
      <c r="G104"/>
      <c r="H104"/>
      <c r="I104"/>
      <c r="J104"/>
      <c r="K104"/>
      <c r="L104"/>
      <c r="M104" s="21"/>
      <c r="N104" s="21"/>
      <c r="O104"/>
    </row>
    <row r="105" spans="1:15" ht="12.75">
      <c r="A105"/>
      <c r="B105"/>
      <c r="C105"/>
      <c r="D105"/>
      <c r="E105"/>
      <c r="F105"/>
      <c r="G105"/>
      <c r="H105"/>
      <c r="I105"/>
      <c r="J105"/>
      <c r="K105"/>
      <c r="L105"/>
      <c r="M105" s="21"/>
      <c r="N105" s="21"/>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sheetData>
  <sheetProtection/>
  <mergeCells count="12">
    <mergeCell ref="I10:I11"/>
    <mergeCell ref="B32:J32"/>
    <mergeCell ref="G10:G11"/>
    <mergeCell ref="B91:L92"/>
    <mergeCell ref="B8:K8"/>
    <mergeCell ref="A1:L1"/>
    <mergeCell ref="A2:L2"/>
    <mergeCell ref="A3:L3"/>
    <mergeCell ref="A4:L4"/>
    <mergeCell ref="B62:J62"/>
    <mergeCell ref="B22:K22"/>
    <mergeCell ref="E10:E11"/>
  </mergeCells>
  <printOptions/>
  <pageMargins left="1.08" right="0.75" top="1" bottom="0.41" header="0.86" footer="0.27"/>
  <pageSetup fitToHeight="1" fitToWidth="1" horizontalDpi="600" verticalDpi="600" orientation="landscape" scale="41"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C21" sqref="C21"/>
    </sheetView>
  </sheetViews>
  <sheetFormatPr defaultColWidth="8.8515625" defaultRowHeight="12.75"/>
  <cols>
    <col min="1" max="1" width="9.28125" style="424" bestFit="1" customWidth="1"/>
    <col min="2" max="2" width="65.140625" style="330" bestFit="1" customWidth="1"/>
    <col min="3" max="3" width="12.7109375" style="330" bestFit="1" customWidth="1"/>
    <col min="4" max="4" width="1.57421875" style="330" customWidth="1"/>
    <col min="5" max="5" width="15.00390625" style="330" bestFit="1" customWidth="1"/>
    <col min="6" max="16384" width="8.8515625" style="330" customWidth="1"/>
  </cols>
  <sheetData>
    <row r="1" spans="1:15" ht="15">
      <c r="A1" s="1500" t="str">
        <f>+'I&amp;M WS C  - Working Capital'!A1:L1</f>
        <v>AEP East Companies</v>
      </c>
      <c r="B1" s="1500"/>
      <c r="C1" s="1500"/>
      <c r="D1" s="1500"/>
      <c r="E1" s="1500"/>
      <c r="F1" s="534"/>
      <c r="G1" s="534"/>
      <c r="H1" s="534"/>
      <c r="I1" s="534"/>
      <c r="J1" s="534"/>
      <c r="K1" s="534"/>
      <c r="L1" s="534"/>
      <c r="M1" s="534"/>
      <c r="N1" s="534"/>
      <c r="O1" s="534"/>
    </row>
    <row r="2" spans="1:15" ht="15">
      <c r="A2" s="1501" t="str">
        <f>"Cost of Service Formula Rate Using Actual/Projected FF1 Balances"</f>
        <v>Cost of Service Formula Rate Using Actual/Projected FF1 Balances</v>
      </c>
      <c r="B2" s="1501"/>
      <c r="C2" s="1501"/>
      <c r="D2" s="1501"/>
      <c r="E2" s="1501"/>
      <c r="F2" s="535"/>
      <c r="G2" s="535"/>
      <c r="H2" s="535"/>
      <c r="I2" s="535"/>
      <c r="J2" s="535"/>
      <c r="K2" s="535"/>
      <c r="L2" s="535"/>
      <c r="M2" s="536"/>
      <c r="N2" s="536"/>
      <c r="O2" s="536"/>
    </row>
    <row r="3" spans="1:15" ht="15">
      <c r="A3" s="1501" t="s">
        <v>229</v>
      </c>
      <c r="B3" s="1501"/>
      <c r="C3" s="1501"/>
      <c r="D3" s="1501"/>
      <c r="E3" s="1501"/>
      <c r="F3" s="535"/>
      <c r="G3" s="535"/>
      <c r="H3" s="535"/>
      <c r="I3" s="535"/>
      <c r="J3" s="535"/>
      <c r="K3" s="535"/>
      <c r="L3" s="535"/>
      <c r="M3" s="535"/>
      <c r="N3" s="535"/>
      <c r="O3" s="535"/>
    </row>
    <row r="4" spans="1:15" ht="15">
      <c r="A4" s="1502" t="str">
        <f>'I&amp;M TCOS'!F7</f>
        <v>INDIANA MICHIGAN POWER COMPANY</v>
      </c>
      <c r="B4" s="1502"/>
      <c r="C4" s="1502"/>
      <c r="D4" s="1502"/>
      <c r="E4" s="1502"/>
      <c r="F4" s="326"/>
      <c r="G4" s="326"/>
      <c r="H4" s="326"/>
      <c r="I4" s="326"/>
      <c r="J4" s="326"/>
      <c r="K4" s="326"/>
      <c r="L4" s="326"/>
      <c r="M4" s="326"/>
      <c r="N4" s="326"/>
      <c r="O4" s="326"/>
    </row>
    <row r="6" spans="1:3" ht="12.75">
      <c r="A6" s="537" t="s">
        <v>171</v>
      </c>
      <c r="B6" s="538" t="s">
        <v>164</v>
      </c>
      <c r="C6" s="538" t="s">
        <v>165</v>
      </c>
    </row>
    <row r="7" spans="1:3" ht="12.75">
      <c r="A7" s="537" t="s">
        <v>107</v>
      </c>
      <c r="B7" s="537" t="s">
        <v>169</v>
      </c>
      <c r="C7" s="537">
        <f>+'I&amp;M TCOS'!L2</f>
        <v>2017</v>
      </c>
    </row>
    <row r="8" spans="1:6" ht="12.75">
      <c r="A8" s="539"/>
      <c r="B8" s="540"/>
      <c r="C8" s="538"/>
      <c r="F8" s="412"/>
    </row>
    <row r="9" spans="1:6" ht="12.75">
      <c r="A9" s="424">
        <v>1</v>
      </c>
      <c r="B9" s="1120" t="str">
        <f>"Net Funds from IPP Customers 12/31/"&amp;'I&amp;M TCOS'!L2-1&amp;" ("&amp;'I&amp;M TCOS'!L2&amp;" FORM 1, P269)"</f>
        <v>Net Funds from IPP Customers 12/31/2016 (2017 FORM 1, P269)</v>
      </c>
      <c r="C9" s="1354">
        <v>-3204471</v>
      </c>
      <c r="D9" s="412"/>
      <c r="F9" s="412"/>
    </row>
    <row r="10" spans="2:6" ht="12.75">
      <c r="B10" s="582"/>
      <c r="C10" s="1355"/>
      <c r="D10" s="412"/>
      <c r="F10" s="412"/>
    </row>
    <row r="11" spans="1:6" ht="12.75">
      <c r="A11" s="424">
        <v>2</v>
      </c>
      <c r="B11" s="1120" t="s">
        <v>72</v>
      </c>
      <c r="C11" s="1354">
        <v>-125071</v>
      </c>
      <c r="D11" s="412"/>
      <c r="F11" s="412"/>
    </row>
    <row r="12" spans="2:6" ht="12.75">
      <c r="B12" s="1120"/>
      <c r="C12" s="1355"/>
      <c r="D12" s="412"/>
      <c r="F12" s="412"/>
    </row>
    <row r="13" spans="1:6" ht="12.75">
      <c r="A13" s="424">
        <f>+A11+1</f>
        <v>3</v>
      </c>
      <c r="B13" s="1120" t="s">
        <v>73</v>
      </c>
      <c r="C13" s="1354">
        <v>0</v>
      </c>
      <c r="D13" s="412"/>
      <c r="F13" s="412"/>
    </row>
    <row r="14" spans="2:6" ht="12.75">
      <c r="B14" s="1120"/>
      <c r="C14" s="1355"/>
      <c r="D14" s="412"/>
      <c r="F14" s="412"/>
    </row>
    <row r="15" spans="1:6" ht="12.75">
      <c r="A15" s="424">
        <f>+A13+1</f>
        <v>4</v>
      </c>
      <c r="B15" s="1121" t="s">
        <v>230</v>
      </c>
      <c r="C15" s="1355"/>
      <c r="D15" s="412"/>
      <c r="F15" s="412"/>
    </row>
    <row r="16" spans="1:6" ht="12.75">
      <c r="A16" s="424">
        <f>+A15+1</f>
        <v>5</v>
      </c>
      <c r="B16" s="1120" t="s">
        <v>74</v>
      </c>
      <c r="C16" s="1354">
        <v>0</v>
      </c>
      <c r="D16" s="412"/>
      <c r="F16" s="412"/>
    </row>
    <row r="17" spans="1:6" ht="12.75">
      <c r="A17" s="424">
        <f>+A16+1</f>
        <v>6</v>
      </c>
      <c r="B17" s="1113" t="s">
        <v>116</v>
      </c>
      <c r="C17" s="841">
        <v>0</v>
      </c>
      <c r="D17" s="412"/>
      <c r="F17" s="412"/>
    </row>
    <row r="18" spans="2:6" ht="12.75">
      <c r="B18" s="582"/>
      <c r="C18" s="842"/>
      <c r="D18" s="412"/>
      <c r="F18" s="412"/>
    </row>
    <row r="19" spans="1:6" ht="12.75">
      <c r="A19" s="424">
        <f>+A17+1</f>
        <v>7</v>
      </c>
      <c r="B19" s="1120" t="str">
        <f>"Net Funds from IPP Customers 12/31/"&amp;'I&amp;M TCOS'!L2&amp;" ("&amp;'I&amp;M TCOS'!L2&amp;" FORM 1, P269)"</f>
        <v>Net Funds from IPP Customers 12/31/2017 (2017 FORM 1, P269)</v>
      </c>
      <c r="C19" s="542">
        <f>+C9+C11+C13+C16+C17</f>
        <v>-3329542</v>
      </c>
      <c r="D19" s="543"/>
      <c r="F19" s="412"/>
    </row>
    <row r="20" spans="2:6" ht="12.75">
      <c r="B20" s="582"/>
      <c r="C20" s="542"/>
      <c r="D20" s="412"/>
      <c r="F20" s="412"/>
    </row>
    <row r="21" spans="1:6" ht="12.75">
      <c r="A21" s="424">
        <f>+A19+1</f>
        <v>8</v>
      </c>
      <c r="B21" s="1120" t="str">
        <f>"Average Balance for Year as Indicated in Column B ((ln "&amp;A9&amp;" + ln "&amp;A19&amp;")/2)"</f>
        <v>Average Balance for Year as Indicated in Column B ((ln 1 + ln 7)/2)</v>
      </c>
      <c r="C21" s="544">
        <f>AVERAGE(C19,C9)</f>
        <v>-3267006.5</v>
      </c>
      <c r="D21" s="412"/>
      <c r="F21" s="412"/>
    </row>
    <row r="22" spans="2:4" ht="12.75">
      <c r="B22" s="582"/>
      <c r="D22" s="412"/>
    </row>
    <row r="23" spans="2:4" ht="12.75">
      <c r="B23" s="368"/>
      <c r="C23" s="545"/>
      <c r="D23" s="412"/>
    </row>
    <row r="24" spans="1:4" ht="15">
      <c r="A24" s="318" t="s">
        <v>501</v>
      </c>
      <c r="B24" s="1460" t="str">
        <f>"On this worksheet Company Records refers to  "&amp;A4&amp;"'s general ledger."</f>
        <v>On this worksheet Company Records refers to  INDIANA MICHIGAN POWER COMPANY's general ledger.</v>
      </c>
      <c r="D24" s="412"/>
    </row>
    <row r="25" spans="2:4" ht="12.75">
      <c r="B25" s="1453"/>
      <c r="D25" s="412"/>
    </row>
    <row r="26" spans="2:4" ht="12.75">
      <c r="B26" s="546"/>
      <c r="D26" s="412"/>
    </row>
    <row r="27" ht="12.75">
      <c r="D27" s="412"/>
    </row>
    <row r="28" ht="12.75">
      <c r="D28" s="412"/>
    </row>
    <row r="29" ht="12.75">
      <c r="D29" s="412"/>
    </row>
    <row r="30" ht="12.75">
      <c r="D30" s="547"/>
    </row>
    <row r="31" ht="12.75">
      <c r="D31" s="412"/>
    </row>
    <row r="32" ht="12.75">
      <c r="D32" s="412"/>
    </row>
    <row r="33" ht="12.75">
      <c r="D33" s="412"/>
    </row>
    <row r="34" spans="1:4" ht="12.75">
      <c r="A34" s="539"/>
      <c r="B34" s="412"/>
      <c r="C34" s="412"/>
      <c r="D34" s="412"/>
    </row>
    <row r="35" spans="1:3" ht="12.75">
      <c r="A35" s="539"/>
      <c r="B35" s="412"/>
      <c r="C35" s="412"/>
    </row>
    <row r="36" ht="12.75">
      <c r="C36" s="548"/>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AO149"/>
  <sheetViews>
    <sheetView view="pageBreakPreview" zoomScaleSheetLayoutView="100" zoomScalePageLayoutView="0" workbookViewId="0" topLeftCell="E1">
      <selection activeCell="J21" sqref="J21"/>
    </sheetView>
  </sheetViews>
  <sheetFormatPr defaultColWidth="9.140625" defaultRowHeight="12.75"/>
  <cols>
    <col min="1" max="1" width="9.421875" style="549" customWidth="1"/>
    <col min="2" max="2" width="6.7109375" style="549" customWidth="1"/>
    <col min="3" max="8" width="14.57421875" style="549" customWidth="1"/>
    <col min="9" max="9" width="14.8515625" style="549" bestFit="1" customWidth="1"/>
    <col min="10" max="11" width="16.57421875" style="549" bestFit="1" customWidth="1"/>
    <col min="12" max="13" width="22.140625" style="549" bestFit="1" customWidth="1"/>
    <col min="14" max="14" width="8.421875" style="549" customWidth="1"/>
    <col min="15" max="38" width="12.7109375" style="549" customWidth="1"/>
    <col min="39" max="16384" width="9.140625" style="549" customWidth="1"/>
  </cols>
  <sheetData>
    <row r="1" spans="1:15" ht="15">
      <c r="A1" s="1500" t="str">
        <f>+'I&amp;M WS C  - Working Capital'!A1:L1</f>
        <v>AEP East Companies</v>
      </c>
      <c r="B1" s="1500"/>
      <c r="C1" s="1500"/>
      <c r="D1" s="1500"/>
      <c r="E1" s="1500"/>
      <c r="F1" s="1500"/>
      <c r="G1" s="1500"/>
      <c r="H1" s="1500"/>
      <c r="I1" s="1500"/>
      <c r="J1" s="1500"/>
      <c r="K1" s="1500"/>
      <c r="L1" s="534"/>
      <c r="M1" s="534"/>
      <c r="N1" s="534"/>
      <c r="O1" s="534"/>
    </row>
    <row r="2" spans="1:15" ht="15">
      <c r="A2" s="1501" t="str">
        <f>"Cost of Service Formula Rate Using Actual/Projected FF1 Balances"</f>
        <v>Cost of Service Formula Rate Using Actual/Projected FF1 Balances</v>
      </c>
      <c r="B2" s="1501"/>
      <c r="C2" s="1501"/>
      <c r="D2" s="1501"/>
      <c r="E2" s="1501"/>
      <c r="F2" s="1501"/>
      <c r="G2" s="1501"/>
      <c r="H2" s="1501"/>
      <c r="I2" s="1501"/>
      <c r="J2" s="1501"/>
      <c r="K2" s="1501"/>
      <c r="L2" s="536"/>
      <c r="M2" s="536"/>
      <c r="N2" s="536"/>
      <c r="O2" s="536"/>
    </row>
    <row r="3" spans="1:15" ht="15">
      <c r="A3" s="1501" t="s">
        <v>239</v>
      </c>
      <c r="B3" s="1501"/>
      <c r="C3" s="1501"/>
      <c r="D3" s="1501"/>
      <c r="E3" s="1501"/>
      <c r="F3" s="1501"/>
      <c r="G3" s="1501"/>
      <c r="H3" s="1501"/>
      <c r="I3" s="1501"/>
      <c r="J3" s="1501"/>
      <c r="K3" s="1501"/>
      <c r="L3" s="535"/>
      <c r="M3" s="535"/>
      <c r="N3" s="535"/>
      <c r="O3" s="535"/>
    </row>
    <row r="4" spans="1:15" ht="15">
      <c r="A4" s="1502" t="str">
        <f>'I&amp;M TCOS'!F7</f>
        <v>INDIANA MICHIGAN POWER COMPANY</v>
      </c>
      <c r="B4" s="1502"/>
      <c r="C4" s="1502"/>
      <c r="D4" s="1502"/>
      <c r="E4" s="1502"/>
      <c r="F4" s="1502"/>
      <c r="G4" s="1502"/>
      <c r="H4" s="1502"/>
      <c r="I4" s="1502"/>
      <c r="J4" s="1502"/>
      <c r="K4" s="1502"/>
      <c r="L4" s="326"/>
      <c r="M4" s="326"/>
      <c r="N4" s="326"/>
      <c r="O4" s="326"/>
    </row>
    <row r="5" spans="1:15" ht="15">
      <c r="A5" s="550"/>
      <c r="B5" s="550"/>
      <c r="C5" s="550"/>
      <c r="D5" s="550"/>
      <c r="E5" s="550"/>
      <c r="F5" s="550"/>
      <c r="G5" s="550"/>
      <c r="H5" s="550"/>
      <c r="I5" s="550"/>
      <c r="J5" s="550"/>
      <c r="K5" s="550"/>
      <c r="L5" s="550"/>
      <c r="M5" s="550"/>
      <c r="N5" s="550"/>
      <c r="O5" s="550"/>
    </row>
    <row r="6" spans="1:13" ht="18">
      <c r="A6" s="1505"/>
      <c r="B6" s="1505"/>
      <c r="C6" s="1505"/>
      <c r="D6" s="1505"/>
      <c r="E6" s="1505"/>
      <c r="F6" s="1505"/>
      <c r="G6" s="1505"/>
      <c r="H6" s="1505"/>
      <c r="I6" s="1505"/>
      <c r="J6" s="1505"/>
      <c r="K6" s="1505"/>
      <c r="L6" s="552"/>
      <c r="M6" s="553"/>
    </row>
    <row r="7" spans="1:13" ht="18">
      <c r="A7" s="551"/>
      <c r="B7" s="551"/>
      <c r="C7" s="551"/>
      <c r="D7" s="551"/>
      <c r="E7" s="551"/>
      <c r="F7" s="551"/>
      <c r="G7" s="551"/>
      <c r="H7" s="551"/>
      <c r="I7" s="551"/>
      <c r="J7" s="551"/>
      <c r="K7" s="551"/>
      <c r="L7" s="552"/>
      <c r="M7" s="553"/>
    </row>
    <row r="8" spans="1:22" ht="15.75">
      <c r="A8" s="554" t="s">
        <v>171</v>
      </c>
      <c r="B8" s="552"/>
      <c r="C8" s="555"/>
      <c r="D8" s="555"/>
      <c r="E8" s="555"/>
      <c r="F8" s="555"/>
      <c r="G8" s="556"/>
      <c r="H8" s="556"/>
      <c r="I8" s="554" t="s">
        <v>184</v>
      </c>
      <c r="J8" s="554" t="s">
        <v>28</v>
      </c>
      <c r="K8" s="557"/>
      <c r="N8" s="558"/>
      <c r="P8" s="558"/>
      <c r="R8" s="558"/>
      <c r="S8" s="558"/>
      <c r="T8" s="558"/>
      <c r="U8" s="520"/>
      <c r="V8" s="520"/>
    </row>
    <row r="9" spans="1:22" ht="15.75">
      <c r="A9" s="554" t="s">
        <v>107</v>
      </c>
      <c r="B9" s="1506" t="s">
        <v>169</v>
      </c>
      <c r="C9" s="1506"/>
      <c r="D9" s="1506"/>
      <c r="E9" s="1506"/>
      <c r="F9" s="1506"/>
      <c r="G9" s="1506"/>
      <c r="H9" s="1506"/>
      <c r="I9" s="559" t="s">
        <v>185</v>
      </c>
      <c r="J9" s="559" t="s">
        <v>117</v>
      </c>
      <c r="K9" s="559" t="s">
        <v>117</v>
      </c>
      <c r="L9" s="560"/>
      <c r="M9" s="560"/>
      <c r="N9" s="558"/>
      <c r="O9" s="558"/>
      <c r="P9" s="558"/>
      <c r="Q9" s="558"/>
      <c r="R9" s="558"/>
      <c r="S9" s="558"/>
      <c r="T9" s="561"/>
      <c r="U9" s="520"/>
      <c r="V9" s="520"/>
    </row>
    <row r="10" spans="1:22" ht="15.75">
      <c r="A10" s="556"/>
      <c r="B10" s="562"/>
      <c r="C10" s="552"/>
      <c r="D10" s="556"/>
      <c r="E10" s="556"/>
      <c r="F10" s="556"/>
      <c r="G10" s="556"/>
      <c r="H10" s="556"/>
      <c r="I10" s="556"/>
      <c r="J10" s="556"/>
      <c r="K10" s="563"/>
      <c r="L10" s="560"/>
      <c r="M10" s="560"/>
      <c r="N10" s="558"/>
      <c r="O10" s="558"/>
      <c r="P10" s="558"/>
      <c r="Q10" s="558"/>
      <c r="R10" s="558"/>
      <c r="S10" s="558"/>
      <c r="T10" s="561"/>
      <c r="U10" s="520"/>
      <c r="V10" s="520"/>
    </row>
    <row r="11" spans="1:22" s="570" customFormat="1" ht="12.75">
      <c r="A11" s="564">
        <v>1</v>
      </c>
      <c r="B11" s="565" t="s">
        <v>484</v>
      </c>
      <c r="C11" s="546"/>
      <c r="D11" s="566"/>
      <c r="E11" s="566"/>
      <c r="F11" s="566"/>
      <c r="G11" s="566"/>
      <c r="H11" s="566"/>
      <c r="I11" s="1358">
        <v>5031509.66</v>
      </c>
      <c r="J11" s="567">
        <f>+I11-K10</f>
        <v>5031509.66</v>
      </c>
      <c r="K11" s="843"/>
      <c r="L11" s="568"/>
      <c r="M11" s="568"/>
      <c r="N11" s="546"/>
      <c r="O11" s="546"/>
      <c r="P11" s="546"/>
      <c r="Q11" s="546"/>
      <c r="R11" s="546"/>
      <c r="S11" s="546"/>
      <c r="T11" s="569"/>
      <c r="U11" s="546"/>
      <c r="V11" s="546"/>
    </row>
    <row r="12" spans="1:22" s="570" customFormat="1" ht="12.75">
      <c r="A12" s="571"/>
      <c r="B12" s="572"/>
      <c r="C12" s="573"/>
      <c r="D12" s="574"/>
      <c r="E12" s="574"/>
      <c r="F12" s="574"/>
      <c r="G12" s="574"/>
      <c r="H12" s="566"/>
      <c r="I12" s="1356"/>
      <c r="J12" s="576"/>
      <c r="K12" s="575"/>
      <c r="L12" s="568"/>
      <c r="M12" s="568"/>
      <c r="N12" s="546"/>
      <c r="O12" s="546"/>
      <c r="P12" s="546"/>
      <c r="Q12" s="546"/>
      <c r="R12" s="546"/>
      <c r="S12" s="546"/>
      <c r="T12" s="569"/>
      <c r="U12" s="546"/>
      <c r="V12" s="546"/>
    </row>
    <row r="13" spans="1:22" s="570" customFormat="1" ht="12.75">
      <c r="A13" s="564">
        <f>+A11+1</f>
        <v>2</v>
      </c>
      <c r="B13" s="577" t="s">
        <v>485</v>
      </c>
      <c r="C13" s="546"/>
      <c r="D13" s="566"/>
      <c r="E13" s="566"/>
      <c r="F13" s="566"/>
      <c r="G13" s="566"/>
      <c r="H13" s="566"/>
      <c r="I13" s="1358">
        <v>4136784.74</v>
      </c>
      <c r="J13" s="567">
        <f>+I13-K13</f>
        <v>4079998.1</v>
      </c>
      <c r="K13" s="1359">
        <v>56786.64</v>
      </c>
      <c r="L13" s="568"/>
      <c r="M13" s="568"/>
      <c r="N13" s="546"/>
      <c r="O13" s="546"/>
      <c r="P13" s="546"/>
      <c r="Q13" s="546"/>
      <c r="R13" s="546"/>
      <c r="S13" s="546"/>
      <c r="T13" s="546"/>
      <c r="U13" s="546"/>
      <c r="V13" s="546"/>
    </row>
    <row r="14" spans="1:22" s="570" customFormat="1" ht="12.75">
      <c r="A14" s="571"/>
      <c r="B14" s="578"/>
      <c r="C14" s="573"/>
      <c r="D14" s="574"/>
      <c r="E14" s="574"/>
      <c r="F14" s="574"/>
      <c r="G14" s="574"/>
      <c r="H14" s="566"/>
      <c r="I14" s="1357"/>
      <c r="J14" s="576"/>
      <c r="K14" s="1357"/>
      <c r="L14" s="568"/>
      <c r="M14" s="568"/>
      <c r="N14" s="546"/>
      <c r="O14" s="546"/>
      <c r="P14" s="546"/>
      <c r="Q14" s="546"/>
      <c r="R14" s="546"/>
      <c r="S14" s="546"/>
      <c r="T14" s="546"/>
      <c r="U14" s="546"/>
      <c r="V14" s="546"/>
    </row>
    <row r="15" spans="1:22" s="570" customFormat="1" ht="12.75">
      <c r="A15" s="564">
        <f>+A13+1</f>
        <v>3</v>
      </c>
      <c r="B15" s="577" t="s">
        <v>486</v>
      </c>
      <c r="C15" s="546"/>
      <c r="D15" s="566"/>
      <c r="E15" s="566"/>
      <c r="F15" s="566"/>
      <c r="G15" s="566"/>
      <c r="H15" s="566"/>
      <c r="I15" s="1358">
        <v>7085790.98</v>
      </c>
      <c r="J15" s="567">
        <f>+I15-K15</f>
        <v>5286478.850000001</v>
      </c>
      <c r="K15" s="1359">
        <v>1799312.1300000001</v>
      </c>
      <c r="L15" s="568"/>
      <c r="M15" s="568"/>
      <c r="N15" s="546"/>
      <c r="O15" s="546"/>
      <c r="P15" s="546"/>
      <c r="Q15" s="546"/>
      <c r="R15" s="546"/>
      <c r="S15" s="546"/>
      <c r="T15" s="546"/>
      <c r="U15" s="546"/>
      <c r="V15" s="546"/>
    </row>
    <row r="16" spans="1:22" s="570" customFormat="1" ht="12.75">
      <c r="A16" s="571"/>
      <c r="B16" s="576"/>
      <c r="C16" s="582"/>
      <c r="D16" s="576"/>
      <c r="E16" s="576"/>
      <c r="F16" s="576"/>
      <c r="G16" s="579"/>
      <c r="H16" s="576"/>
      <c r="I16" s="1357"/>
      <c r="J16" s="576"/>
      <c r="K16" s="1357" t="s">
        <v>116</v>
      </c>
      <c r="L16" s="568"/>
      <c r="M16" s="568"/>
      <c r="N16" s="546"/>
      <c r="O16" s="546"/>
      <c r="P16" s="546"/>
      <c r="Q16" s="546"/>
      <c r="R16" s="546"/>
      <c r="S16" s="546"/>
      <c r="T16" s="546"/>
      <c r="U16" s="546"/>
      <c r="V16" s="546"/>
    </row>
    <row r="17" spans="1:22" s="570" customFormat="1" ht="12.75">
      <c r="A17" s="564">
        <f>+A15+1</f>
        <v>4</v>
      </c>
      <c r="B17" s="565" t="s">
        <v>752</v>
      </c>
      <c r="C17" s="582"/>
      <c r="D17" s="576"/>
      <c r="E17" s="576"/>
      <c r="F17" s="576"/>
      <c r="G17" s="579"/>
      <c r="H17" s="576"/>
      <c r="I17" s="1358">
        <v>2533733.63</v>
      </c>
      <c r="J17" s="567">
        <f>+I17-K17</f>
        <v>2150873.9299999997</v>
      </c>
      <c r="K17" s="1359">
        <v>382859.7</v>
      </c>
      <c r="L17" s="568"/>
      <c r="M17" s="568"/>
      <c r="N17" s="581"/>
      <c r="O17" s="546"/>
      <c r="P17" s="546"/>
      <c r="Q17" s="546"/>
      <c r="R17" s="546"/>
      <c r="S17" s="546"/>
      <c r="T17" s="546"/>
      <c r="U17" s="546"/>
      <c r="V17" s="546"/>
    </row>
    <row r="18" spans="1:22" s="570" customFormat="1" ht="12.75">
      <c r="A18" s="571"/>
      <c r="B18" s="565"/>
      <c r="C18" s="582"/>
      <c r="D18" s="576"/>
      <c r="E18" s="576"/>
      <c r="F18" s="576"/>
      <c r="G18" s="579"/>
      <c r="H18" s="576"/>
      <c r="I18" s="546"/>
      <c r="J18" s="546"/>
      <c r="K18" s="546" t="s">
        <v>116</v>
      </c>
      <c r="L18" s="582"/>
      <c r="M18" s="568"/>
      <c r="N18" s="581"/>
      <c r="O18" s="546"/>
      <c r="P18" s="546"/>
      <c r="Q18" s="546"/>
      <c r="R18" s="546"/>
      <c r="S18" s="546"/>
      <c r="T18" s="546"/>
      <c r="U18" s="546"/>
      <c r="V18" s="546"/>
    </row>
    <row r="19" spans="1:22" s="570" customFormat="1" ht="12.75">
      <c r="A19" s="564">
        <f>+A17+1</f>
        <v>5</v>
      </c>
      <c r="B19" s="565" t="s">
        <v>753</v>
      </c>
      <c r="C19" s="582"/>
      <c r="D19" s="576"/>
      <c r="E19" s="576"/>
      <c r="F19" s="576"/>
      <c r="G19" s="579"/>
      <c r="H19" s="576"/>
      <c r="I19" s="1358">
        <v>26966148.82</v>
      </c>
      <c r="J19" s="567">
        <f>+I19-K19</f>
        <v>26966148.82</v>
      </c>
      <c r="K19" s="843">
        <v>0</v>
      </c>
      <c r="L19" s="568"/>
      <c r="M19" s="568"/>
      <c r="N19" s="581"/>
      <c r="O19" s="546"/>
      <c r="P19" s="546"/>
      <c r="Q19" s="546"/>
      <c r="R19" s="546"/>
      <c r="S19" s="546"/>
      <c r="T19" s="546"/>
      <c r="U19" s="546"/>
      <c r="V19" s="546"/>
    </row>
    <row r="20" spans="1:22" s="570" customFormat="1" ht="12.75">
      <c r="A20" s="564"/>
      <c r="B20" s="565"/>
      <c r="C20" s="582"/>
      <c r="D20" s="576"/>
      <c r="E20" s="576"/>
      <c r="F20" s="576"/>
      <c r="G20" s="579"/>
      <c r="H20" s="576"/>
      <c r="I20" s="887"/>
      <c r="J20" s="567"/>
      <c r="K20" s="887"/>
      <c r="L20" s="568"/>
      <c r="M20" s="568"/>
      <c r="N20" s="581"/>
      <c r="O20" s="546"/>
      <c r="P20" s="546"/>
      <c r="Q20" s="546"/>
      <c r="R20" s="546"/>
      <c r="S20" s="546"/>
      <c r="T20" s="546"/>
      <c r="U20" s="546"/>
      <c r="V20" s="546"/>
    </row>
    <row r="21" spans="1:22" s="570" customFormat="1" ht="12.75">
      <c r="A21" s="564" t="s">
        <v>611</v>
      </c>
      <c r="B21" s="565" t="s">
        <v>614</v>
      </c>
      <c r="C21" s="582"/>
      <c r="D21" s="576"/>
      <c r="E21" s="576"/>
      <c r="F21" s="576"/>
      <c r="G21" s="579"/>
      <c r="H21" s="576"/>
      <c r="I21" s="843">
        <v>0</v>
      </c>
      <c r="J21" s="567">
        <v>0</v>
      </c>
      <c r="K21" s="843">
        <v>0</v>
      </c>
      <c r="L21" s="568"/>
      <c r="M21" s="568"/>
      <c r="N21" s="581"/>
      <c r="O21" s="546"/>
      <c r="P21" s="546"/>
      <c r="Q21" s="546"/>
      <c r="R21" s="546"/>
      <c r="S21" s="546"/>
      <c r="T21" s="546"/>
      <c r="U21" s="546"/>
      <c r="V21" s="546"/>
    </row>
    <row r="22" spans="1:22" s="570" customFormat="1" ht="12.75">
      <c r="A22" s="564"/>
      <c r="B22" s="565"/>
      <c r="C22" s="582"/>
      <c r="D22" s="576"/>
      <c r="E22" s="576"/>
      <c r="F22" s="576"/>
      <c r="G22" s="579"/>
      <c r="H22" s="576"/>
      <c r="I22" s="887"/>
      <c r="J22" s="567"/>
      <c r="K22" s="887"/>
      <c r="L22" s="568"/>
      <c r="M22" s="568"/>
      <c r="N22" s="581"/>
      <c r="O22" s="546"/>
      <c r="P22" s="546"/>
      <c r="Q22" s="546"/>
      <c r="R22" s="546"/>
      <c r="S22" s="546"/>
      <c r="T22" s="546"/>
      <c r="U22" s="546"/>
      <c r="V22" s="546"/>
    </row>
    <row r="23" spans="1:22" s="570" customFormat="1" ht="12.75">
      <c r="A23" s="564" t="s">
        <v>612</v>
      </c>
      <c r="B23" s="565" t="s">
        <v>613</v>
      </c>
      <c r="C23" s="582"/>
      <c r="D23" s="576"/>
      <c r="E23" s="576"/>
      <c r="F23" s="576"/>
      <c r="G23" s="579"/>
      <c r="H23" s="576"/>
      <c r="I23" s="843">
        <v>0</v>
      </c>
      <c r="J23" s="567">
        <v>0</v>
      </c>
      <c r="K23" s="843">
        <v>0</v>
      </c>
      <c r="L23" s="568"/>
      <c r="M23" s="568"/>
      <c r="N23" s="581"/>
      <c r="O23" s="546"/>
      <c r="P23" s="546"/>
      <c r="Q23" s="546"/>
      <c r="R23" s="546"/>
      <c r="S23" s="546"/>
      <c r="T23" s="546"/>
      <c r="U23" s="546"/>
      <c r="V23" s="546"/>
    </row>
    <row r="24" spans="1:22" s="570" customFormat="1" ht="12.75">
      <c r="A24" s="564"/>
      <c r="B24" s="565"/>
      <c r="C24" s="582"/>
      <c r="D24" s="576"/>
      <c r="E24" s="576"/>
      <c r="F24" s="576"/>
      <c r="G24" s="579"/>
      <c r="H24" s="576"/>
      <c r="I24" s="546"/>
      <c r="J24" s="546"/>
      <c r="L24" s="568"/>
      <c r="M24" s="568"/>
      <c r="N24" s="546"/>
      <c r="O24" s="546"/>
      <c r="P24" s="546"/>
      <c r="Q24" s="546"/>
      <c r="R24" s="546"/>
      <c r="S24" s="546"/>
      <c r="T24" s="546"/>
      <c r="U24" s="546"/>
      <c r="V24" s="546"/>
    </row>
    <row r="25" spans="1:22" s="570" customFormat="1" ht="12.75">
      <c r="A25" s="564">
        <f>+A19+1</f>
        <v>6</v>
      </c>
      <c r="B25" s="565" t="s">
        <v>75</v>
      </c>
      <c r="C25" s="582"/>
      <c r="D25" s="576"/>
      <c r="E25" s="576"/>
      <c r="F25" s="576"/>
      <c r="G25" s="579"/>
      <c r="H25" s="576"/>
      <c r="I25" s="583">
        <f>+I19+I17+I15+I13+I11+I21+I23</f>
        <v>45753967.83</v>
      </c>
      <c r="J25" s="583">
        <f>+J19+J17+J15+J13+J11+J21+J23</f>
        <v>43515009.36</v>
      </c>
      <c r="K25" s="583">
        <f>+K19+K17+K15+K13+K11+K21+K23</f>
        <v>2238958.47</v>
      </c>
      <c r="L25" s="568"/>
      <c r="M25" s="568"/>
      <c r="N25" s="546"/>
      <c r="O25" s="546"/>
      <c r="P25" s="546"/>
      <c r="Q25" s="546"/>
      <c r="R25" s="546"/>
      <c r="S25" s="546"/>
      <c r="T25" s="546"/>
      <c r="U25" s="546"/>
      <c r="V25" s="546"/>
    </row>
    <row r="26" spans="1:22" s="570" customFormat="1" ht="12.75">
      <c r="A26" s="564"/>
      <c r="B26" s="565"/>
      <c r="C26" s="582"/>
      <c r="D26" s="576"/>
      <c r="E26" s="576"/>
      <c r="F26" s="576"/>
      <c r="G26" s="579"/>
      <c r="H26" s="576"/>
      <c r="I26" s="546"/>
      <c r="J26" s="546"/>
      <c r="K26" s="546"/>
      <c r="L26" s="568"/>
      <c r="M26" s="568"/>
      <c r="N26" s="546"/>
      <c r="O26" s="546"/>
      <c r="P26" s="546"/>
      <c r="Q26" s="546"/>
      <c r="R26" s="546"/>
      <c r="S26" s="546"/>
      <c r="T26" s="546"/>
      <c r="U26" s="546"/>
      <c r="V26" s="546"/>
    </row>
    <row r="27" spans="1:22" s="570" customFormat="1" ht="12.75">
      <c r="A27" s="564">
        <f>+A25+1</f>
        <v>7</v>
      </c>
      <c r="B27" s="1504" t="s">
        <v>487</v>
      </c>
      <c r="C27" s="1453"/>
      <c r="D27" s="1453"/>
      <c r="E27" s="1453"/>
      <c r="F27" s="1453"/>
      <c r="G27" s="1453"/>
      <c r="H27" s="576"/>
      <c r="I27" s="843">
        <v>0</v>
      </c>
      <c r="J27" s="567">
        <f>+I27-K27</f>
        <v>0</v>
      </c>
      <c r="K27" s="843">
        <v>0</v>
      </c>
      <c r="L27" s="568"/>
      <c r="M27" s="568"/>
      <c r="N27" s="546"/>
      <c r="O27" s="546"/>
      <c r="P27" s="546"/>
      <c r="Q27" s="546"/>
      <c r="R27" s="546"/>
      <c r="S27" s="546"/>
      <c r="T27" s="546"/>
      <c r="U27" s="546"/>
      <c r="V27" s="546"/>
    </row>
    <row r="28" spans="1:22" s="570" customFormat="1" ht="12.75">
      <c r="A28" s="1113"/>
      <c r="B28" s="1453"/>
      <c r="C28" s="1453"/>
      <c r="D28" s="1453"/>
      <c r="E28" s="1453"/>
      <c r="F28" s="1453"/>
      <c r="G28" s="1453"/>
      <c r="H28" s="566"/>
      <c r="I28" s="584"/>
      <c r="J28" s="566"/>
      <c r="K28" s="585"/>
      <c r="L28" s="568"/>
      <c r="M28" s="568"/>
      <c r="N28" s="546"/>
      <c r="O28" s="546"/>
      <c r="P28" s="546"/>
      <c r="Q28" s="546"/>
      <c r="R28" s="546"/>
      <c r="S28" s="546"/>
      <c r="T28" s="546"/>
      <c r="U28" s="546"/>
      <c r="V28" s="546"/>
    </row>
    <row r="29" spans="1:22" s="570" customFormat="1" ht="12.75">
      <c r="A29" s="564">
        <f>+A27+1</f>
        <v>8</v>
      </c>
      <c r="B29" s="572" t="s">
        <v>217</v>
      </c>
      <c r="C29" s="573"/>
      <c r="D29" s="574"/>
      <c r="E29" s="574"/>
      <c r="F29" s="574"/>
      <c r="G29" s="580"/>
      <c r="H29" s="566"/>
      <c r="I29" s="586">
        <f>SUM(I25:I27)</f>
        <v>45753967.83</v>
      </c>
      <c r="J29" s="586">
        <f>SUM(J25:J27)</f>
        <v>43515009.36</v>
      </c>
      <c r="K29" s="586">
        <f>SUM(K25:K27)</f>
        <v>2238958.47</v>
      </c>
      <c r="L29" s="568"/>
      <c r="M29" s="568"/>
      <c r="N29" s="546"/>
      <c r="O29" s="546"/>
      <c r="P29" s="546"/>
      <c r="Q29" s="546"/>
      <c r="R29" s="546"/>
      <c r="S29" s="546"/>
      <c r="T29" s="546"/>
      <c r="U29" s="546"/>
      <c r="V29" s="546"/>
    </row>
    <row r="30" spans="1:22" s="570" customFormat="1" ht="12.75">
      <c r="A30" s="564"/>
      <c r="B30" s="572"/>
      <c r="C30" s="573"/>
      <c r="D30" s="574"/>
      <c r="E30" s="574"/>
      <c r="F30" s="574"/>
      <c r="G30" s="580"/>
      <c r="H30" s="566"/>
      <c r="I30" s="585"/>
      <c r="J30" s="585"/>
      <c r="K30" s="585"/>
      <c r="L30" s="568"/>
      <c r="M30" s="568"/>
      <c r="N30" s="546"/>
      <c r="O30" s="546"/>
      <c r="P30" s="546"/>
      <c r="Q30" s="546"/>
      <c r="R30" s="546"/>
      <c r="S30" s="546"/>
      <c r="T30" s="546"/>
      <c r="U30" s="546"/>
      <c r="V30" s="546"/>
    </row>
    <row r="31" spans="1:22" s="570" customFormat="1" ht="12.75">
      <c r="A31" s="564"/>
      <c r="B31" s="572"/>
      <c r="C31" s="573"/>
      <c r="D31" s="574"/>
      <c r="E31" s="574"/>
      <c r="F31" s="574"/>
      <c r="G31" s="580"/>
      <c r="H31" s="566"/>
      <c r="I31" s="585"/>
      <c r="J31" s="585"/>
      <c r="K31" s="585"/>
      <c r="L31" s="568"/>
      <c r="M31" s="568"/>
      <c r="N31" s="546"/>
      <c r="O31" s="546"/>
      <c r="P31" s="546"/>
      <c r="Q31" s="546"/>
      <c r="R31" s="546"/>
      <c r="S31" s="546"/>
      <c r="T31" s="546"/>
      <c r="U31" s="546"/>
      <c r="V31" s="546"/>
    </row>
    <row r="32" spans="1:22" s="570" customFormat="1" ht="12.75">
      <c r="A32" s="1124"/>
      <c r="L32" s="568"/>
      <c r="M32" s="568"/>
      <c r="N32" s="546"/>
      <c r="O32" s="546"/>
      <c r="P32" s="546"/>
      <c r="Q32" s="546"/>
      <c r="R32" s="546"/>
      <c r="S32" s="546"/>
      <c r="T32" s="546"/>
      <c r="U32" s="546"/>
      <c r="V32" s="546"/>
    </row>
    <row r="33" spans="1:22" ht="15">
      <c r="A33" s="1125"/>
      <c r="B33" s="546"/>
      <c r="C33" s="565"/>
      <c r="D33" s="566"/>
      <c r="E33" s="566"/>
      <c r="F33" s="566"/>
      <c r="G33" s="579"/>
      <c r="H33" s="566"/>
      <c r="I33" s="566"/>
      <c r="J33" s="566"/>
      <c r="K33" s="566"/>
      <c r="L33" s="587"/>
      <c r="M33" s="588"/>
      <c r="N33" s="520"/>
      <c r="O33" s="555"/>
      <c r="P33" s="555"/>
      <c r="Q33" s="555"/>
      <c r="R33" s="555"/>
      <c r="S33" s="520"/>
      <c r="T33" s="520"/>
      <c r="U33" s="520"/>
      <c r="V33" s="520"/>
    </row>
    <row r="34" spans="1:22" ht="15" customHeight="1">
      <c r="A34" s="1113" t="s">
        <v>501</v>
      </c>
      <c r="B34" s="1503"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INDIANA MICHIGAN POWER COMPANY's general ledger. The functional amounts identified as transmission revenue also come from the general ledger. </v>
      </c>
      <c r="C34" s="1503"/>
      <c r="D34" s="1503"/>
      <c r="E34" s="1503"/>
      <c r="F34" s="1503"/>
      <c r="G34" s="1503"/>
      <c r="H34" s="1503"/>
      <c r="I34" s="1503"/>
      <c r="J34" s="1503"/>
      <c r="K34" s="546"/>
      <c r="L34" s="590"/>
      <c r="M34" s="590"/>
      <c r="N34" s="520"/>
      <c r="O34" s="555"/>
      <c r="P34" s="555"/>
      <c r="Q34" s="555"/>
      <c r="R34" s="555"/>
      <c r="S34" s="520"/>
      <c r="T34" s="558"/>
      <c r="U34" s="520"/>
      <c r="V34" s="520"/>
    </row>
    <row r="35" spans="1:41" ht="15.75">
      <c r="A35" s="1113"/>
      <c r="B35" s="1503"/>
      <c r="C35" s="1503"/>
      <c r="D35" s="1503"/>
      <c r="E35" s="1503"/>
      <c r="F35" s="1503"/>
      <c r="G35" s="1503"/>
      <c r="H35" s="1503"/>
      <c r="I35" s="1503"/>
      <c r="J35" s="1503"/>
      <c r="K35" s="546"/>
      <c r="L35" s="519"/>
      <c r="M35" s="591"/>
      <c r="N35" s="591"/>
      <c r="O35" s="591"/>
      <c r="P35" s="591"/>
      <c r="Q35" s="591"/>
      <c r="R35" s="519"/>
      <c r="S35" s="519"/>
      <c r="T35" s="519"/>
      <c r="U35" s="519"/>
      <c r="V35" s="519"/>
      <c r="W35" s="560"/>
      <c r="X35" s="560"/>
      <c r="Y35" s="560"/>
      <c r="Z35" s="560"/>
      <c r="AA35" s="560"/>
      <c r="AB35" s="560"/>
      <c r="AC35" s="560"/>
      <c r="AD35" s="560"/>
      <c r="AE35" s="560"/>
      <c r="AF35" s="560"/>
      <c r="AG35" s="560"/>
      <c r="AH35" s="560"/>
      <c r="AI35" s="560"/>
      <c r="AJ35" s="560"/>
      <c r="AK35" s="560"/>
      <c r="AL35" s="560"/>
      <c r="AM35" s="560"/>
      <c r="AN35" s="560"/>
      <c r="AO35" s="560"/>
    </row>
    <row r="36" spans="1:41" ht="15.75">
      <c r="A36" s="1113" t="s">
        <v>609</v>
      </c>
      <c r="B36" s="1122" t="s">
        <v>610</v>
      </c>
      <c r="C36" s="1123"/>
      <c r="D36" s="1123"/>
      <c r="E36" s="1123"/>
      <c r="F36" s="1123"/>
      <c r="G36" s="1123"/>
      <c r="H36" s="1123"/>
      <c r="I36" s="589"/>
      <c r="J36" s="589"/>
      <c r="K36" s="592"/>
      <c r="L36" s="519"/>
      <c r="M36" s="591"/>
      <c r="N36" s="591"/>
      <c r="O36" s="591"/>
      <c r="P36" s="591"/>
      <c r="Q36" s="591"/>
      <c r="R36" s="519"/>
      <c r="S36" s="519"/>
      <c r="T36" s="519"/>
      <c r="U36" s="519"/>
      <c r="V36" s="519"/>
      <c r="W36" s="560"/>
      <c r="X36" s="560"/>
      <c r="Y36" s="560"/>
      <c r="Z36" s="560"/>
      <c r="AA36" s="560"/>
      <c r="AB36" s="560"/>
      <c r="AC36" s="560"/>
      <c r="AD36" s="560"/>
      <c r="AE36" s="560"/>
      <c r="AF36" s="560"/>
      <c r="AG36" s="560"/>
      <c r="AH36" s="560"/>
      <c r="AI36" s="560"/>
      <c r="AJ36" s="560"/>
      <c r="AK36" s="560"/>
      <c r="AL36" s="560"/>
      <c r="AM36" s="560"/>
      <c r="AN36" s="560"/>
      <c r="AO36" s="560"/>
    </row>
    <row r="37" spans="1:41" ht="15.75">
      <c r="A37" s="564">
        <f>+A29+1</f>
        <v>9</v>
      </c>
      <c r="B37" s="577" t="s">
        <v>538</v>
      </c>
      <c r="C37" s="546"/>
      <c r="D37" s="566"/>
      <c r="E37" s="566"/>
      <c r="F37" s="566"/>
      <c r="G37" s="579"/>
      <c r="H37" s="566"/>
      <c r="I37" s="585"/>
      <c r="J37" s="585"/>
      <c r="K37" s="843">
        <v>0</v>
      </c>
      <c r="L37" s="519"/>
      <c r="M37" s="591"/>
      <c r="N37" s="591"/>
      <c r="O37" s="591"/>
      <c r="P37" s="591"/>
      <c r="Q37" s="591"/>
      <c r="R37" s="519"/>
      <c r="S37" s="519"/>
      <c r="T37" s="519"/>
      <c r="U37" s="519"/>
      <c r="V37" s="519"/>
      <c r="W37" s="560"/>
      <c r="X37" s="560"/>
      <c r="Y37" s="560"/>
      <c r="Z37" s="560"/>
      <c r="AA37" s="560"/>
      <c r="AB37" s="560"/>
      <c r="AC37" s="560"/>
      <c r="AD37" s="560"/>
      <c r="AE37" s="560"/>
      <c r="AF37" s="560"/>
      <c r="AG37" s="560"/>
      <c r="AH37" s="560"/>
      <c r="AI37" s="560"/>
      <c r="AJ37" s="560"/>
      <c r="AK37" s="560"/>
      <c r="AL37" s="560"/>
      <c r="AM37" s="560"/>
      <c r="AN37" s="560"/>
      <c r="AO37" s="560"/>
    </row>
    <row r="38" spans="1:41" ht="15.75">
      <c r="A38" s="520"/>
      <c r="B38" s="519"/>
      <c r="E38" s="591"/>
      <c r="F38" s="591"/>
      <c r="G38" s="591"/>
      <c r="H38" s="591"/>
      <c r="I38" s="593"/>
      <c r="J38" s="591"/>
      <c r="K38" s="591"/>
      <c r="L38" s="519"/>
      <c r="M38" s="591"/>
      <c r="N38" s="591"/>
      <c r="O38" s="591"/>
      <c r="P38" s="591"/>
      <c r="Q38" s="591"/>
      <c r="R38" s="519"/>
      <c r="S38" s="519"/>
      <c r="T38" s="519"/>
      <c r="U38" s="519"/>
      <c r="V38" s="519"/>
      <c r="W38" s="560"/>
      <c r="X38" s="560"/>
      <c r="Y38" s="560"/>
      <c r="Z38" s="560"/>
      <c r="AA38" s="560"/>
      <c r="AB38" s="560"/>
      <c r="AC38" s="560"/>
      <c r="AD38" s="560"/>
      <c r="AE38" s="560"/>
      <c r="AF38" s="560"/>
      <c r="AG38" s="560"/>
      <c r="AH38" s="560"/>
      <c r="AI38" s="560"/>
      <c r="AJ38" s="560"/>
      <c r="AK38" s="560"/>
      <c r="AL38" s="560"/>
      <c r="AM38" s="560"/>
      <c r="AN38" s="560"/>
      <c r="AO38" s="560"/>
    </row>
    <row r="39" spans="1:41" ht="15.75">
      <c r="A39" s="520"/>
      <c r="B39" s="519"/>
      <c r="E39" s="591"/>
      <c r="F39" s="591"/>
      <c r="G39" s="591"/>
      <c r="H39" s="591"/>
      <c r="I39" s="591" t="s">
        <v>116</v>
      </c>
      <c r="J39" s="591"/>
      <c r="K39" s="591"/>
      <c r="L39" s="519"/>
      <c r="M39" s="591"/>
      <c r="N39" s="591"/>
      <c r="O39" s="591"/>
      <c r="P39" s="591"/>
      <c r="Q39" s="591"/>
      <c r="R39" s="519"/>
      <c r="S39" s="519"/>
      <c r="T39" s="519"/>
      <c r="U39" s="519"/>
      <c r="V39" s="519"/>
      <c r="W39" s="560"/>
      <c r="X39" s="560"/>
      <c r="Y39" s="560"/>
      <c r="Z39" s="560"/>
      <c r="AA39" s="560"/>
      <c r="AB39" s="560"/>
      <c r="AC39" s="560"/>
      <c r="AD39" s="560"/>
      <c r="AE39" s="560"/>
      <c r="AF39" s="560"/>
      <c r="AG39" s="560"/>
      <c r="AH39" s="560"/>
      <c r="AI39" s="560"/>
      <c r="AJ39" s="560"/>
      <c r="AK39" s="560"/>
      <c r="AL39" s="560"/>
      <c r="AM39" s="560"/>
      <c r="AN39" s="560"/>
      <c r="AO39" s="560"/>
    </row>
    <row r="40" spans="1:41" ht="15.75">
      <c r="A40" s="520"/>
      <c r="B40" s="519"/>
      <c r="E40" s="591"/>
      <c r="F40" s="591"/>
      <c r="G40" s="591"/>
      <c r="H40" s="591"/>
      <c r="I40" s="591" t="s">
        <v>116</v>
      </c>
      <c r="J40" s="591"/>
      <c r="K40" s="591"/>
      <c r="L40" s="519"/>
      <c r="M40" s="591"/>
      <c r="N40" s="591"/>
      <c r="O40" s="591"/>
      <c r="P40" s="591"/>
      <c r="Q40" s="591"/>
      <c r="R40" s="519"/>
      <c r="S40" s="519"/>
      <c r="T40" s="519"/>
      <c r="U40" s="519"/>
      <c r="V40" s="519"/>
      <c r="W40" s="560"/>
      <c r="X40" s="560"/>
      <c r="Y40" s="560"/>
      <c r="Z40" s="560"/>
      <c r="AA40" s="560"/>
      <c r="AB40" s="560"/>
      <c r="AC40" s="560"/>
      <c r="AD40" s="560"/>
      <c r="AE40" s="560"/>
      <c r="AF40" s="560"/>
      <c r="AG40" s="560"/>
      <c r="AH40" s="560"/>
      <c r="AI40" s="560"/>
      <c r="AJ40" s="560"/>
      <c r="AK40" s="560"/>
      <c r="AL40" s="560"/>
      <c r="AM40" s="560"/>
      <c r="AN40" s="560"/>
      <c r="AO40" s="560"/>
    </row>
    <row r="41" spans="1:41" ht="15.75">
      <c r="A41" s="520"/>
      <c r="B41" s="519"/>
      <c r="E41" s="591"/>
      <c r="F41" s="591"/>
      <c r="G41" s="591"/>
      <c r="H41" s="591"/>
      <c r="I41" s="591"/>
      <c r="J41" s="591"/>
      <c r="K41" s="591"/>
      <c r="L41" s="519"/>
      <c r="M41" s="591"/>
      <c r="N41" s="591"/>
      <c r="O41" s="591"/>
      <c r="P41" s="591"/>
      <c r="Q41" s="591"/>
      <c r="R41" s="519"/>
      <c r="S41" s="519"/>
      <c r="T41" s="519"/>
      <c r="U41" s="519"/>
      <c r="V41" s="519"/>
      <c r="W41" s="560"/>
      <c r="X41" s="560"/>
      <c r="Y41" s="560"/>
      <c r="Z41" s="560"/>
      <c r="AA41" s="560"/>
      <c r="AB41" s="560"/>
      <c r="AC41" s="560"/>
      <c r="AD41" s="560"/>
      <c r="AE41" s="560"/>
      <c r="AF41" s="560"/>
      <c r="AG41" s="560"/>
      <c r="AH41" s="560"/>
      <c r="AI41" s="560"/>
      <c r="AJ41" s="560"/>
      <c r="AK41" s="560"/>
      <c r="AL41" s="560"/>
      <c r="AM41" s="560"/>
      <c r="AN41" s="560"/>
      <c r="AO41" s="560"/>
    </row>
    <row r="42" spans="1:41" ht="15.75">
      <c r="A42" s="520"/>
      <c r="B42" s="519"/>
      <c r="E42" s="591"/>
      <c r="F42" s="591"/>
      <c r="G42" s="591"/>
      <c r="H42" s="591"/>
      <c r="I42" s="591"/>
      <c r="J42" s="591"/>
      <c r="K42" s="591"/>
      <c r="L42" s="519"/>
      <c r="M42" s="591"/>
      <c r="N42" s="591"/>
      <c r="O42" s="591"/>
      <c r="P42" s="591"/>
      <c r="Q42" s="591"/>
      <c r="R42" s="519"/>
      <c r="S42" s="519"/>
      <c r="T42" s="519"/>
      <c r="U42" s="519"/>
      <c r="V42" s="519"/>
      <c r="W42" s="560"/>
      <c r="X42" s="560"/>
      <c r="Y42" s="560"/>
      <c r="Z42" s="560"/>
      <c r="AA42" s="560"/>
      <c r="AB42" s="560"/>
      <c r="AC42" s="560"/>
      <c r="AD42" s="560"/>
      <c r="AE42" s="560"/>
      <c r="AF42" s="560"/>
      <c r="AG42" s="560"/>
      <c r="AH42" s="560"/>
      <c r="AI42" s="560"/>
      <c r="AJ42" s="560"/>
      <c r="AK42" s="560"/>
      <c r="AL42" s="560"/>
      <c r="AM42" s="560"/>
      <c r="AN42" s="560"/>
      <c r="AO42" s="560"/>
    </row>
    <row r="43" spans="1:41" ht="15.75">
      <c r="A43" s="520"/>
      <c r="B43" s="519"/>
      <c r="E43" s="591"/>
      <c r="F43" s="591"/>
      <c r="G43" s="591"/>
      <c r="H43" s="591"/>
      <c r="I43" s="591"/>
      <c r="J43" s="591"/>
      <c r="K43" s="591"/>
      <c r="L43" s="519"/>
      <c r="M43" s="591"/>
      <c r="N43" s="591"/>
      <c r="O43" s="591"/>
      <c r="P43" s="591"/>
      <c r="Q43" s="591"/>
      <c r="R43" s="519"/>
      <c r="S43" s="519"/>
      <c r="T43" s="519"/>
      <c r="U43" s="519"/>
      <c r="V43" s="519"/>
      <c r="W43" s="560"/>
      <c r="X43" s="560"/>
      <c r="Y43" s="560"/>
      <c r="Z43" s="560"/>
      <c r="AA43" s="560"/>
      <c r="AB43" s="560"/>
      <c r="AC43" s="560"/>
      <c r="AD43" s="560"/>
      <c r="AE43" s="560"/>
      <c r="AF43" s="560"/>
      <c r="AG43" s="560"/>
      <c r="AH43" s="560"/>
      <c r="AI43" s="560"/>
      <c r="AJ43" s="560"/>
      <c r="AK43" s="560"/>
      <c r="AL43" s="560"/>
      <c r="AM43" s="560"/>
      <c r="AN43" s="560"/>
      <c r="AO43" s="560"/>
    </row>
    <row r="44" spans="1:41" ht="15.75">
      <c r="A44" s="520"/>
      <c r="B44" s="519"/>
      <c r="E44" s="591"/>
      <c r="F44" s="591"/>
      <c r="G44" s="591"/>
      <c r="H44" s="591"/>
      <c r="I44" s="591"/>
      <c r="J44" s="591"/>
      <c r="K44" s="591"/>
      <c r="L44" s="519"/>
      <c r="M44" s="591"/>
      <c r="N44" s="591"/>
      <c r="O44" s="591"/>
      <c r="P44" s="591"/>
      <c r="Q44" s="591"/>
      <c r="R44" s="519"/>
      <c r="S44" s="519"/>
      <c r="T44" s="519"/>
      <c r="U44" s="519"/>
      <c r="V44" s="519"/>
      <c r="W44" s="560"/>
      <c r="X44" s="560"/>
      <c r="Y44" s="560"/>
      <c r="Z44" s="560"/>
      <c r="AA44" s="560"/>
      <c r="AB44" s="560"/>
      <c r="AC44" s="560"/>
      <c r="AD44" s="560"/>
      <c r="AE44" s="560"/>
      <c r="AF44" s="560"/>
      <c r="AG44" s="560"/>
      <c r="AH44" s="560"/>
      <c r="AI44" s="560"/>
      <c r="AJ44" s="560"/>
      <c r="AK44" s="560"/>
      <c r="AL44" s="560"/>
      <c r="AM44" s="560"/>
      <c r="AN44" s="560"/>
      <c r="AO44" s="560"/>
    </row>
    <row r="45" spans="1:41" ht="15.75">
      <c r="A45" s="520"/>
      <c r="B45" s="519"/>
      <c r="E45" s="591"/>
      <c r="F45" s="591"/>
      <c r="G45" s="591"/>
      <c r="H45" s="591"/>
      <c r="I45" s="591"/>
      <c r="J45" s="591"/>
      <c r="K45" s="591"/>
      <c r="L45" s="519"/>
      <c r="M45" s="591"/>
      <c r="N45" s="591"/>
      <c r="O45" s="591"/>
      <c r="P45" s="591"/>
      <c r="Q45" s="591"/>
      <c r="R45" s="519"/>
      <c r="S45" s="519"/>
      <c r="T45" s="519"/>
      <c r="U45" s="519"/>
      <c r="V45" s="519"/>
      <c r="W45" s="560"/>
      <c r="X45" s="560"/>
      <c r="Y45" s="560"/>
      <c r="Z45" s="560"/>
      <c r="AA45" s="560"/>
      <c r="AB45" s="560"/>
      <c r="AC45" s="560"/>
      <c r="AD45" s="560"/>
      <c r="AE45" s="560"/>
      <c r="AF45" s="560"/>
      <c r="AG45" s="560"/>
      <c r="AH45" s="560"/>
      <c r="AI45" s="560"/>
      <c r="AJ45" s="560"/>
      <c r="AK45" s="560"/>
      <c r="AL45" s="560"/>
      <c r="AM45" s="560"/>
      <c r="AN45" s="560"/>
      <c r="AO45" s="560"/>
    </row>
    <row r="46" spans="1:41" ht="15.75">
      <c r="A46" s="520"/>
      <c r="B46" s="519"/>
      <c r="E46" s="591"/>
      <c r="F46" s="591"/>
      <c r="G46" s="591"/>
      <c r="H46" s="591"/>
      <c r="I46" s="591"/>
      <c r="J46" s="591"/>
      <c r="K46" s="591"/>
      <c r="L46" s="519"/>
      <c r="M46" s="591"/>
      <c r="N46" s="591"/>
      <c r="O46" s="591"/>
      <c r="P46" s="591"/>
      <c r="Q46" s="591"/>
      <c r="R46" s="519"/>
      <c r="S46" s="519"/>
      <c r="T46" s="519"/>
      <c r="U46" s="519"/>
      <c r="V46" s="519"/>
      <c r="W46" s="560"/>
      <c r="X46" s="560"/>
      <c r="Y46" s="560"/>
      <c r="Z46" s="560"/>
      <c r="AA46" s="560"/>
      <c r="AB46" s="560"/>
      <c r="AC46" s="560"/>
      <c r="AD46" s="560"/>
      <c r="AE46" s="560"/>
      <c r="AF46" s="560"/>
      <c r="AG46" s="560"/>
      <c r="AH46" s="560"/>
      <c r="AI46" s="560"/>
      <c r="AJ46" s="560"/>
      <c r="AK46" s="560"/>
      <c r="AL46" s="560"/>
      <c r="AM46" s="560"/>
      <c r="AN46" s="560"/>
      <c r="AO46" s="560"/>
    </row>
    <row r="47" spans="9:41" ht="15.75">
      <c r="I47" s="591"/>
      <c r="J47" s="591"/>
      <c r="K47" s="591"/>
      <c r="L47" s="519"/>
      <c r="M47" s="591"/>
      <c r="N47" s="591"/>
      <c r="O47" s="591"/>
      <c r="P47" s="591"/>
      <c r="Q47" s="591"/>
      <c r="R47" s="519"/>
      <c r="S47" s="519"/>
      <c r="T47" s="519"/>
      <c r="U47" s="519"/>
      <c r="V47" s="519"/>
      <c r="W47" s="560"/>
      <c r="X47" s="560"/>
      <c r="Y47" s="560"/>
      <c r="Z47" s="560"/>
      <c r="AA47" s="560"/>
      <c r="AB47" s="560"/>
      <c r="AC47" s="560"/>
      <c r="AD47" s="560"/>
      <c r="AE47" s="560"/>
      <c r="AF47" s="560"/>
      <c r="AG47" s="560"/>
      <c r="AH47" s="560"/>
      <c r="AI47" s="560"/>
      <c r="AJ47" s="560"/>
      <c r="AK47" s="560"/>
      <c r="AL47" s="560"/>
      <c r="AM47" s="560"/>
      <c r="AN47" s="560"/>
      <c r="AO47" s="560"/>
    </row>
    <row r="48" spans="1:41" ht="15.75">
      <c r="A48" s="520"/>
      <c r="B48" s="519"/>
      <c r="E48" s="591"/>
      <c r="F48" s="591"/>
      <c r="G48" s="591"/>
      <c r="H48" s="591"/>
      <c r="I48" s="591"/>
      <c r="J48" s="591"/>
      <c r="K48" s="591"/>
      <c r="L48" s="519"/>
      <c r="M48" s="591"/>
      <c r="N48" s="591"/>
      <c r="O48" s="591"/>
      <c r="P48" s="591"/>
      <c r="Q48" s="591"/>
      <c r="R48" s="519"/>
      <c r="S48" s="519"/>
      <c r="T48" s="519"/>
      <c r="U48" s="519"/>
      <c r="V48" s="519"/>
      <c r="W48" s="560"/>
      <c r="X48" s="560"/>
      <c r="Y48" s="560"/>
      <c r="Z48" s="560"/>
      <c r="AA48" s="560"/>
      <c r="AB48" s="560"/>
      <c r="AC48" s="560"/>
      <c r="AD48" s="560"/>
      <c r="AE48" s="560"/>
      <c r="AF48" s="560"/>
      <c r="AG48" s="560"/>
      <c r="AH48" s="560"/>
      <c r="AI48" s="560"/>
      <c r="AJ48" s="560"/>
      <c r="AK48" s="560"/>
      <c r="AL48" s="560"/>
      <c r="AM48" s="560"/>
      <c r="AN48" s="560"/>
      <c r="AO48" s="560"/>
    </row>
    <row r="49" spans="1:41" ht="15.75">
      <c r="A49" s="520"/>
      <c r="B49" s="519"/>
      <c r="E49" s="591"/>
      <c r="F49" s="591"/>
      <c r="G49" s="591"/>
      <c r="H49" s="591"/>
      <c r="I49" s="591"/>
      <c r="J49" s="591"/>
      <c r="K49" s="591"/>
      <c r="L49" s="519"/>
      <c r="M49" s="591"/>
      <c r="N49" s="591"/>
      <c r="O49" s="591"/>
      <c r="P49" s="591"/>
      <c r="Q49" s="591"/>
      <c r="R49" s="519"/>
      <c r="S49" s="519"/>
      <c r="T49" s="519"/>
      <c r="U49" s="519"/>
      <c r="V49" s="519"/>
      <c r="W49" s="560"/>
      <c r="X49" s="560"/>
      <c r="Y49" s="560"/>
      <c r="Z49" s="560"/>
      <c r="AA49" s="560"/>
      <c r="AB49" s="560"/>
      <c r="AC49" s="560"/>
      <c r="AD49" s="560"/>
      <c r="AE49" s="560"/>
      <c r="AF49" s="560"/>
      <c r="AG49" s="560"/>
      <c r="AH49" s="560"/>
      <c r="AI49" s="560"/>
      <c r="AJ49" s="560"/>
      <c r="AK49" s="560"/>
      <c r="AL49" s="560"/>
      <c r="AM49" s="560"/>
      <c r="AN49" s="560"/>
      <c r="AO49" s="560"/>
    </row>
    <row r="50" spans="1:41" ht="15.75">
      <c r="A50" s="520"/>
      <c r="B50" s="519"/>
      <c r="E50" s="591"/>
      <c r="F50" s="591"/>
      <c r="G50" s="591"/>
      <c r="H50" s="591"/>
      <c r="I50" s="591"/>
      <c r="J50" s="591"/>
      <c r="K50" s="591"/>
      <c r="L50" s="519"/>
      <c r="M50" s="591"/>
      <c r="N50" s="591"/>
      <c r="O50" s="591"/>
      <c r="P50" s="591"/>
      <c r="Q50" s="591"/>
      <c r="R50" s="519"/>
      <c r="S50" s="519"/>
      <c r="T50" s="519"/>
      <c r="U50" s="519"/>
      <c r="V50" s="519"/>
      <c r="W50" s="560"/>
      <c r="X50" s="560"/>
      <c r="Y50" s="560"/>
      <c r="Z50" s="560"/>
      <c r="AA50" s="560"/>
      <c r="AB50" s="560"/>
      <c r="AC50" s="560"/>
      <c r="AD50" s="560"/>
      <c r="AE50" s="560"/>
      <c r="AF50" s="560"/>
      <c r="AG50" s="560"/>
      <c r="AH50" s="560"/>
      <c r="AI50" s="560"/>
      <c r="AJ50" s="560"/>
      <c r="AK50" s="560"/>
      <c r="AL50" s="560"/>
      <c r="AM50" s="560"/>
      <c r="AN50" s="560"/>
      <c r="AO50" s="560"/>
    </row>
    <row r="51" spans="1:41" ht="15.75">
      <c r="A51" s="520"/>
      <c r="B51" s="519"/>
      <c r="E51" s="591"/>
      <c r="F51" s="591"/>
      <c r="G51" s="591"/>
      <c r="H51" s="591"/>
      <c r="I51" s="591"/>
      <c r="J51" s="591"/>
      <c r="K51" s="591"/>
      <c r="L51" s="519"/>
      <c r="M51" s="591"/>
      <c r="N51" s="591"/>
      <c r="O51" s="591"/>
      <c r="P51" s="591"/>
      <c r="Q51" s="591"/>
      <c r="R51" s="519"/>
      <c r="S51" s="519"/>
      <c r="T51" s="519"/>
      <c r="U51" s="519"/>
      <c r="V51" s="519"/>
      <c r="W51" s="560"/>
      <c r="X51" s="560"/>
      <c r="Y51" s="560"/>
      <c r="Z51" s="560"/>
      <c r="AA51" s="560"/>
      <c r="AB51" s="560"/>
      <c r="AC51" s="560"/>
      <c r="AD51" s="560"/>
      <c r="AE51" s="560"/>
      <c r="AF51" s="560"/>
      <c r="AG51" s="560"/>
      <c r="AH51" s="560"/>
      <c r="AI51" s="560"/>
      <c r="AJ51" s="560"/>
      <c r="AK51" s="560"/>
      <c r="AL51" s="560"/>
      <c r="AM51" s="560"/>
      <c r="AN51" s="560"/>
      <c r="AO51" s="560"/>
    </row>
    <row r="52" spans="1:41" ht="15.75">
      <c r="A52" s="520"/>
      <c r="B52" s="519"/>
      <c r="E52" s="591"/>
      <c r="F52" s="591"/>
      <c r="G52" s="591"/>
      <c r="H52" s="591"/>
      <c r="I52" s="591"/>
      <c r="J52" s="591"/>
      <c r="K52" s="591"/>
      <c r="L52" s="519"/>
      <c r="M52" s="591"/>
      <c r="N52" s="591"/>
      <c r="O52" s="591"/>
      <c r="P52" s="591"/>
      <c r="Q52" s="591"/>
      <c r="R52" s="519"/>
      <c r="S52" s="519"/>
      <c r="T52" s="519"/>
      <c r="U52" s="519"/>
      <c r="V52" s="519"/>
      <c r="W52" s="560"/>
      <c r="X52" s="560"/>
      <c r="Y52" s="560"/>
      <c r="Z52" s="560"/>
      <c r="AA52" s="560"/>
      <c r="AB52" s="560"/>
      <c r="AC52" s="560"/>
      <c r="AD52" s="560"/>
      <c r="AE52" s="560"/>
      <c r="AF52" s="560"/>
      <c r="AG52" s="560"/>
      <c r="AH52" s="560"/>
      <c r="AI52" s="560"/>
      <c r="AJ52" s="560"/>
      <c r="AK52" s="560"/>
      <c r="AL52" s="560"/>
      <c r="AM52" s="560"/>
      <c r="AN52" s="560"/>
      <c r="AO52" s="560"/>
    </row>
    <row r="53" spans="1:41" ht="15.75">
      <c r="A53" s="520"/>
      <c r="B53" s="519"/>
      <c r="E53" s="591"/>
      <c r="F53" s="591"/>
      <c r="G53" s="591"/>
      <c r="H53" s="591"/>
      <c r="I53" s="591"/>
      <c r="J53" s="591"/>
      <c r="K53" s="591"/>
      <c r="L53" s="519"/>
      <c r="M53" s="591"/>
      <c r="N53" s="591"/>
      <c r="O53" s="591"/>
      <c r="P53" s="591"/>
      <c r="Q53" s="591"/>
      <c r="R53" s="519"/>
      <c r="S53" s="519"/>
      <c r="T53" s="519"/>
      <c r="U53" s="519"/>
      <c r="V53" s="519"/>
      <c r="W53" s="560"/>
      <c r="X53" s="560"/>
      <c r="Y53" s="560"/>
      <c r="Z53" s="560"/>
      <c r="AA53" s="560"/>
      <c r="AB53" s="560"/>
      <c r="AC53" s="560"/>
      <c r="AD53" s="560"/>
      <c r="AE53" s="560"/>
      <c r="AF53" s="560"/>
      <c r="AG53" s="560"/>
      <c r="AH53" s="560"/>
      <c r="AI53" s="560"/>
      <c r="AJ53" s="560"/>
      <c r="AK53" s="560"/>
      <c r="AL53" s="560"/>
      <c r="AM53" s="560"/>
      <c r="AN53" s="560"/>
      <c r="AO53" s="560"/>
    </row>
    <row r="54" spans="1:41" ht="15.75">
      <c r="A54" s="520"/>
      <c r="B54" s="519"/>
      <c r="E54" s="591"/>
      <c r="F54" s="591"/>
      <c r="G54" s="591"/>
      <c r="H54" s="591"/>
      <c r="I54" s="591"/>
      <c r="J54" s="591"/>
      <c r="K54" s="591"/>
      <c r="L54" s="519"/>
      <c r="M54" s="591"/>
      <c r="N54" s="591"/>
      <c r="O54" s="591"/>
      <c r="P54" s="591"/>
      <c r="Q54" s="591"/>
      <c r="R54" s="519"/>
      <c r="S54" s="519"/>
      <c r="T54" s="519"/>
      <c r="U54" s="519"/>
      <c r="V54" s="519"/>
      <c r="W54" s="560"/>
      <c r="X54" s="560"/>
      <c r="Y54" s="560"/>
      <c r="Z54" s="560"/>
      <c r="AA54" s="560"/>
      <c r="AB54" s="560"/>
      <c r="AC54" s="560"/>
      <c r="AD54" s="560"/>
      <c r="AE54" s="560"/>
      <c r="AF54" s="560"/>
      <c r="AG54" s="560"/>
      <c r="AH54" s="560"/>
      <c r="AI54" s="560"/>
      <c r="AJ54" s="560"/>
      <c r="AK54" s="560"/>
      <c r="AL54" s="560"/>
      <c r="AM54" s="560"/>
      <c r="AN54" s="560"/>
      <c r="AO54" s="560"/>
    </row>
    <row r="55" spans="1:41" ht="15.75">
      <c r="A55" s="520"/>
      <c r="B55" s="519"/>
      <c r="E55" s="591"/>
      <c r="F55" s="591"/>
      <c r="G55" s="591"/>
      <c r="H55" s="591"/>
      <c r="I55" s="591"/>
      <c r="J55" s="591"/>
      <c r="K55" s="591"/>
      <c r="L55" s="519"/>
      <c r="M55" s="591"/>
      <c r="N55" s="591"/>
      <c r="O55" s="591"/>
      <c r="P55" s="591"/>
      <c r="Q55" s="591"/>
      <c r="R55" s="519"/>
      <c r="S55" s="519"/>
      <c r="T55" s="519"/>
      <c r="U55" s="519"/>
      <c r="V55" s="519"/>
      <c r="W55" s="560"/>
      <c r="X55" s="560"/>
      <c r="Y55" s="560"/>
      <c r="Z55" s="560"/>
      <c r="AA55" s="560"/>
      <c r="AB55" s="560"/>
      <c r="AC55" s="560"/>
      <c r="AD55" s="560"/>
      <c r="AE55" s="560"/>
      <c r="AF55" s="560"/>
      <c r="AG55" s="560"/>
      <c r="AH55" s="560"/>
      <c r="AI55" s="560"/>
      <c r="AJ55" s="560"/>
      <c r="AK55" s="560"/>
      <c r="AL55" s="560"/>
      <c r="AM55" s="560"/>
      <c r="AN55" s="560"/>
      <c r="AO55" s="560"/>
    </row>
    <row r="56" spans="1:41" ht="15.75">
      <c r="A56" s="520"/>
      <c r="B56" s="519"/>
      <c r="E56" s="591"/>
      <c r="F56" s="591"/>
      <c r="G56" s="591"/>
      <c r="H56" s="591"/>
      <c r="I56" s="591"/>
      <c r="J56" s="591"/>
      <c r="K56" s="591"/>
      <c r="L56" s="519"/>
      <c r="M56" s="591"/>
      <c r="N56" s="591"/>
      <c r="O56" s="591"/>
      <c r="P56" s="591"/>
      <c r="Q56" s="591"/>
      <c r="R56" s="519"/>
      <c r="S56" s="519"/>
      <c r="T56" s="519"/>
      <c r="U56" s="519"/>
      <c r="V56" s="519"/>
      <c r="W56" s="560"/>
      <c r="X56" s="560"/>
      <c r="Y56" s="560"/>
      <c r="Z56" s="560"/>
      <c r="AA56" s="560"/>
      <c r="AB56" s="560"/>
      <c r="AC56" s="560"/>
      <c r="AD56" s="560"/>
      <c r="AE56" s="560"/>
      <c r="AF56" s="560"/>
      <c r="AG56" s="560"/>
      <c r="AH56" s="560"/>
      <c r="AI56" s="560"/>
      <c r="AJ56" s="560"/>
      <c r="AK56" s="560"/>
      <c r="AL56" s="560"/>
      <c r="AM56" s="560"/>
      <c r="AN56" s="560"/>
      <c r="AO56" s="560"/>
    </row>
    <row r="57" spans="1:41" ht="15.75">
      <c r="A57" s="520"/>
      <c r="B57" s="519"/>
      <c r="E57" s="591"/>
      <c r="F57" s="591"/>
      <c r="G57" s="591"/>
      <c r="H57" s="591"/>
      <c r="I57" s="591"/>
      <c r="J57" s="591"/>
      <c r="K57" s="591"/>
      <c r="L57" s="519"/>
      <c r="M57" s="591"/>
      <c r="N57" s="591"/>
      <c r="O57" s="591"/>
      <c r="P57" s="591"/>
      <c r="Q57" s="591"/>
      <c r="R57" s="519"/>
      <c r="S57" s="519"/>
      <c r="T57" s="519"/>
      <c r="U57" s="519"/>
      <c r="V57" s="519"/>
      <c r="W57" s="560"/>
      <c r="X57" s="560"/>
      <c r="Y57" s="560"/>
      <c r="Z57" s="560"/>
      <c r="AA57" s="560"/>
      <c r="AB57" s="560"/>
      <c r="AC57" s="560"/>
      <c r="AD57" s="560"/>
      <c r="AE57" s="560"/>
      <c r="AF57" s="560"/>
      <c r="AG57" s="560"/>
      <c r="AH57" s="560"/>
      <c r="AI57" s="560"/>
      <c r="AJ57" s="560"/>
      <c r="AK57" s="560"/>
      <c r="AL57" s="560"/>
      <c r="AM57" s="560"/>
      <c r="AN57" s="560"/>
      <c r="AO57" s="560"/>
    </row>
    <row r="58" spans="1:41" ht="15.75">
      <c r="A58" s="520"/>
      <c r="B58" s="519"/>
      <c r="E58" s="591"/>
      <c r="F58" s="591"/>
      <c r="G58" s="591"/>
      <c r="H58" s="591"/>
      <c r="I58" s="591"/>
      <c r="J58" s="591"/>
      <c r="K58" s="591"/>
      <c r="L58" s="519"/>
      <c r="M58" s="591"/>
      <c r="N58" s="591"/>
      <c r="O58" s="591"/>
      <c r="P58" s="591"/>
      <c r="Q58" s="591"/>
      <c r="R58" s="519"/>
      <c r="S58" s="519"/>
      <c r="T58" s="519"/>
      <c r="U58" s="519"/>
      <c r="V58" s="519"/>
      <c r="W58" s="560"/>
      <c r="X58" s="560"/>
      <c r="Y58" s="560"/>
      <c r="Z58" s="560"/>
      <c r="AA58" s="560"/>
      <c r="AB58" s="560"/>
      <c r="AC58" s="560"/>
      <c r="AD58" s="560"/>
      <c r="AE58" s="560"/>
      <c r="AF58" s="560"/>
      <c r="AG58" s="560"/>
      <c r="AH58" s="560"/>
      <c r="AI58" s="560"/>
      <c r="AJ58" s="560"/>
      <c r="AK58" s="560"/>
      <c r="AL58" s="560"/>
      <c r="AM58" s="560"/>
      <c r="AN58" s="560"/>
      <c r="AO58" s="560"/>
    </row>
    <row r="59" spans="1:41" ht="15.75">
      <c r="A59" s="520"/>
      <c r="B59" s="519"/>
      <c r="E59" s="591"/>
      <c r="F59" s="591"/>
      <c r="G59" s="591"/>
      <c r="H59" s="591"/>
      <c r="I59" s="591"/>
      <c r="J59" s="591"/>
      <c r="K59" s="591"/>
      <c r="L59" s="519"/>
      <c r="M59" s="591"/>
      <c r="N59" s="591"/>
      <c r="O59" s="591"/>
      <c r="P59" s="591"/>
      <c r="Q59" s="591"/>
      <c r="R59" s="519"/>
      <c r="S59" s="519"/>
      <c r="T59" s="519"/>
      <c r="U59" s="519"/>
      <c r="V59" s="519"/>
      <c r="W59" s="560"/>
      <c r="X59" s="560"/>
      <c r="Y59" s="560"/>
      <c r="Z59" s="560"/>
      <c r="AA59" s="560"/>
      <c r="AB59" s="560"/>
      <c r="AC59" s="560"/>
      <c r="AD59" s="560"/>
      <c r="AE59" s="560"/>
      <c r="AF59" s="560"/>
      <c r="AG59" s="560"/>
      <c r="AH59" s="560"/>
      <c r="AI59" s="560"/>
      <c r="AJ59" s="560"/>
      <c r="AK59" s="560"/>
      <c r="AL59" s="560"/>
      <c r="AM59" s="560"/>
      <c r="AN59" s="560"/>
      <c r="AO59" s="560"/>
    </row>
    <row r="60" spans="1:41" ht="15.75">
      <c r="A60" s="520"/>
      <c r="B60" s="519"/>
      <c r="E60" s="591"/>
      <c r="F60" s="591"/>
      <c r="G60" s="591"/>
      <c r="H60" s="591"/>
      <c r="I60" s="591"/>
      <c r="J60" s="591"/>
      <c r="K60" s="591"/>
      <c r="L60" s="519"/>
      <c r="M60" s="591"/>
      <c r="N60" s="591"/>
      <c r="O60" s="591"/>
      <c r="P60" s="591"/>
      <c r="Q60" s="591"/>
      <c r="R60" s="519"/>
      <c r="S60" s="519"/>
      <c r="T60" s="519"/>
      <c r="U60" s="519"/>
      <c r="V60" s="519"/>
      <c r="W60" s="560"/>
      <c r="X60" s="560"/>
      <c r="Y60" s="560"/>
      <c r="Z60" s="560"/>
      <c r="AA60" s="560"/>
      <c r="AB60" s="560"/>
      <c r="AC60" s="560"/>
      <c r="AD60" s="560"/>
      <c r="AE60" s="560"/>
      <c r="AF60" s="560"/>
      <c r="AG60" s="560"/>
      <c r="AH60" s="560"/>
      <c r="AI60" s="560"/>
      <c r="AJ60" s="560"/>
      <c r="AK60" s="560"/>
      <c r="AL60" s="560"/>
      <c r="AM60" s="560"/>
      <c r="AN60" s="560"/>
      <c r="AO60" s="560"/>
    </row>
    <row r="61" spans="1:41" ht="15.75">
      <c r="A61" s="520"/>
      <c r="B61" s="519"/>
      <c r="E61" s="591"/>
      <c r="F61" s="591"/>
      <c r="G61" s="591"/>
      <c r="H61" s="591"/>
      <c r="I61" s="591"/>
      <c r="J61" s="591"/>
      <c r="K61" s="591"/>
      <c r="L61" s="519"/>
      <c r="M61" s="591"/>
      <c r="N61" s="591"/>
      <c r="O61" s="591"/>
      <c r="P61" s="591"/>
      <c r="Q61" s="591"/>
      <c r="R61" s="519"/>
      <c r="S61" s="519"/>
      <c r="T61" s="519"/>
      <c r="U61" s="519"/>
      <c r="V61" s="519"/>
      <c r="W61" s="560"/>
      <c r="X61" s="560"/>
      <c r="Y61" s="560"/>
      <c r="Z61" s="560"/>
      <c r="AA61" s="560"/>
      <c r="AB61" s="560"/>
      <c r="AC61" s="560"/>
      <c r="AD61" s="560"/>
      <c r="AE61" s="560"/>
      <c r="AF61" s="560"/>
      <c r="AG61" s="560"/>
      <c r="AH61" s="560"/>
      <c r="AI61" s="560"/>
      <c r="AJ61" s="560"/>
      <c r="AK61" s="560"/>
      <c r="AL61" s="560"/>
      <c r="AM61" s="560"/>
      <c r="AN61" s="560"/>
      <c r="AO61" s="560"/>
    </row>
    <row r="62" spans="1:41" ht="15.75">
      <c r="A62" s="520"/>
      <c r="B62" s="519"/>
      <c r="E62" s="591"/>
      <c r="F62" s="591"/>
      <c r="G62" s="591"/>
      <c r="H62" s="591"/>
      <c r="I62" s="591"/>
      <c r="J62" s="591"/>
      <c r="K62" s="591"/>
      <c r="L62" s="519"/>
      <c r="M62" s="591"/>
      <c r="N62" s="591"/>
      <c r="O62" s="591"/>
      <c r="P62" s="591"/>
      <c r="Q62" s="591"/>
      <c r="R62" s="519"/>
      <c r="S62" s="519"/>
      <c r="T62" s="519"/>
      <c r="U62" s="519"/>
      <c r="V62" s="519"/>
      <c r="W62" s="560"/>
      <c r="X62" s="560"/>
      <c r="Y62" s="560"/>
      <c r="Z62" s="560"/>
      <c r="AA62" s="560"/>
      <c r="AB62" s="560"/>
      <c r="AC62" s="560"/>
      <c r="AD62" s="560"/>
      <c r="AE62" s="560"/>
      <c r="AF62" s="560"/>
      <c r="AG62" s="560"/>
      <c r="AH62" s="560"/>
      <c r="AI62" s="560"/>
      <c r="AJ62" s="560"/>
      <c r="AK62" s="560"/>
      <c r="AL62" s="560"/>
      <c r="AM62" s="560"/>
      <c r="AN62" s="560"/>
      <c r="AO62" s="560"/>
    </row>
    <row r="63" spans="1:41" ht="15.75">
      <c r="A63" s="520"/>
      <c r="B63" s="519"/>
      <c r="E63" s="591"/>
      <c r="F63" s="591"/>
      <c r="G63" s="591"/>
      <c r="H63" s="591"/>
      <c r="I63" s="591"/>
      <c r="J63" s="591"/>
      <c r="K63" s="591"/>
      <c r="L63" s="519"/>
      <c r="M63" s="591"/>
      <c r="N63" s="591"/>
      <c r="O63" s="591"/>
      <c r="P63" s="591"/>
      <c r="Q63" s="591"/>
      <c r="R63" s="519"/>
      <c r="S63" s="519"/>
      <c r="T63" s="519"/>
      <c r="U63" s="519"/>
      <c r="V63" s="519"/>
      <c r="W63" s="560"/>
      <c r="X63" s="560"/>
      <c r="Y63" s="560"/>
      <c r="Z63" s="560"/>
      <c r="AA63" s="560"/>
      <c r="AB63" s="560"/>
      <c r="AC63" s="560"/>
      <c r="AD63" s="560"/>
      <c r="AE63" s="560"/>
      <c r="AF63" s="560"/>
      <c r="AG63" s="560"/>
      <c r="AH63" s="560"/>
      <c r="AI63" s="560"/>
      <c r="AJ63" s="560"/>
      <c r="AK63" s="560"/>
      <c r="AL63" s="560"/>
      <c r="AM63" s="560"/>
      <c r="AN63" s="560"/>
      <c r="AO63" s="560"/>
    </row>
    <row r="64" spans="1:41" ht="15.75">
      <c r="A64" s="520"/>
      <c r="B64" s="519"/>
      <c r="E64" s="591"/>
      <c r="F64" s="591"/>
      <c r="G64" s="591"/>
      <c r="H64" s="591"/>
      <c r="I64" s="591"/>
      <c r="J64" s="591"/>
      <c r="K64" s="591"/>
      <c r="L64" s="519"/>
      <c r="M64" s="591"/>
      <c r="N64" s="591"/>
      <c r="O64" s="591"/>
      <c r="P64" s="591"/>
      <c r="Q64" s="591"/>
      <c r="R64" s="519"/>
      <c r="S64" s="519"/>
      <c r="T64" s="519"/>
      <c r="U64" s="519"/>
      <c r="V64" s="519"/>
      <c r="W64" s="560"/>
      <c r="X64" s="560"/>
      <c r="Y64" s="560"/>
      <c r="Z64" s="560"/>
      <c r="AA64" s="560"/>
      <c r="AB64" s="560"/>
      <c r="AC64" s="560"/>
      <c r="AD64" s="560"/>
      <c r="AE64" s="560"/>
      <c r="AF64" s="560"/>
      <c r="AG64" s="560"/>
      <c r="AH64" s="560"/>
      <c r="AI64" s="560"/>
      <c r="AJ64" s="560"/>
      <c r="AK64" s="560"/>
      <c r="AL64" s="560"/>
      <c r="AM64" s="560"/>
      <c r="AN64" s="560"/>
      <c r="AO64" s="560"/>
    </row>
    <row r="65" spans="1:41" ht="15.75">
      <c r="A65" s="520"/>
      <c r="B65" s="519"/>
      <c r="E65" s="591"/>
      <c r="F65" s="591"/>
      <c r="G65" s="591"/>
      <c r="H65" s="591"/>
      <c r="I65" s="591"/>
      <c r="J65" s="591"/>
      <c r="K65" s="591"/>
      <c r="L65" s="519"/>
      <c r="M65" s="591"/>
      <c r="N65" s="591"/>
      <c r="O65" s="591"/>
      <c r="P65" s="591"/>
      <c r="Q65" s="591"/>
      <c r="R65" s="519"/>
      <c r="S65" s="519"/>
      <c r="T65" s="519"/>
      <c r="U65" s="519"/>
      <c r="V65" s="519"/>
      <c r="W65" s="560"/>
      <c r="X65" s="560"/>
      <c r="Y65" s="560"/>
      <c r="Z65" s="560"/>
      <c r="AA65" s="560"/>
      <c r="AB65" s="560"/>
      <c r="AC65" s="560"/>
      <c r="AD65" s="560"/>
      <c r="AE65" s="560"/>
      <c r="AF65" s="560"/>
      <c r="AG65" s="560"/>
      <c r="AH65" s="560"/>
      <c r="AI65" s="560"/>
      <c r="AJ65" s="560"/>
      <c r="AK65" s="560"/>
      <c r="AL65" s="560"/>
      <c r="AM65" s="560"/>
      <c r="AN65" s="560"/>
      <c r="AO65" s="560"/>
    </row>
    <row r="66" spans="1:41" ht="15.75">
      <c r="A66" s="520"/>
      <c r="B66" s="519"/>
      <c r="E66" s="591"/>
      <c r="F66" s="591"/>
      <c r="G66" s="591"/>
      <c r="H66" s="591"/>
      <c r="I66" s="591"/>
      <c r="J66" s="591"/>
      <c r="K66" s="591"/>
      <c r="L66" s="519"/>
      <c r="M66" s="591"/>
      <c r="N66" s="591"/>
      <c r="O66" s="591"/>
      <c r="P66" s="591"/>
      <c r="Q66" s="591"/>
      <c r="R66" s="519"/>
      <c r="S66" s="519"/>
      <c r="T66" s="519"/>
      <c r="U66" s="519"/>
      <c r="V66" s="519"/>
      <c r="W66" s="560"/>
      <c r="X66" s="560"/>
      <c r="Y66" s="560"/>
      <c r="Z66" s="560"/>
      <c r="AA66" s="560"/>
      <c r="AB66" s="560"/>
      <c r="AC66" s="560"/>
      <c r="AD66" s="560"/>
      <c r="AE66" s="560"/>
      <c r="AF66" s="560"/>
      <c r="AG66" s="560"/>
      <c r="AH66" s="560"/>
      <c r="AI66" s="560"/>
      <c r="AJ66" s="560"/>
      <c r="AK66" s="560"/>
      <c r="AL66" s="560"/>
      <c r="AM66" s="560"/>
      <c r="AN66" s="560"/>
      <c r="AO66" s="560"/>
    </row>
    <row r="67" spans="1:41" ht="15.75">
      <c r="A67" s="520"/>
      <c r="B67" s="519"/>
      <c r="E67" s="591"/>
      <c r="F67" s="591"/>
      <c r="G67" s="591"/>
      <c r="H67" s="591"/>
      <c r="I67" s="591"/>
      <c r="J67" s="591"/>
      <c r="K67" s="591"/>
      <c r="L67" s="519"/>
      <c r="M67" s="591"/>
      <c r="N67" s="591"/>
      <c r="O67" s="591"/>
      <c r="P67" s="591"/>
      <c r="Q67" s="591"/>
      <c r="R67" s="519"/>
      <c r="S67" s="519"/>
      <c r="T67" s="519"/>
      <c r="U67" s="519"/>
      <c r="V67" s="519"/>
      <c r="W67" s="560"/>
      <c r="X67" s="560"/>
      <c r="Y67" s="560"/>
      <c r="Z67" s="560"/>
      <c r="AA67" s="560"/>
      <c r="AB67" s="560"/>
      <c r="AC67" s="560"/>
      <c r="AD67" s="560"/>
      <c r="AE67" s="560"/>
      <c r="AF67" s="560"/>
      <c r="AG67" s="560"/>
      <c r="AH67" s="560"/>
      <c r="AI67" s="560"/>
      <c r="AJ67" s="560"/>
      <c r="AK67" s="560"/>
      <c r="AL67" s="560"/>
      <c r="AM67" s="560"/>
      <c r="AN67" s="560"/>
      <c r="AO67" s="560"/>
    </row>
    <row r="68" spans="1:41" ht="15.75">
      <c r="A68" s="520"/>
      <c r="B68" s="519"/>
      <c r="E68" s="591"/>
      <c r="F68" s="591"/>
      <c r="G68" s="591"/>
      <c r="H68" s="591"/>
      <c r="I68" s="591"/>
      <c r="J68" s="591"/>
      <c r="K68" s="591"/>
      <c r="L68" s="519"/>
      <c r="M68" s="591"/>
      <c r="N68" s="591"/>
      <c r="O68" s="591"/>
      <c r="P68" s="591"/>
      <c r="Q68" s="591"/>
      <c r="R68" s="519"/>
      <c r="S68" s="519"/>
      <c r="T68" s="519"/>
      <c r="U68" s="519"/>
      <c r="V68" s="519"/>
      <c r="W68" s="560"/>
      <c r="X68" s="560"/>
      <c r="Y68" s="560"/>
      <c r="Z68" s="560"/>
      <c r="AA68" s="560"/>
      <c r="AB68" s="560"/>
      <c r="AC68" s="560"/>
      <c r="AD68" s="560"/>
      <c r="AE68" s="560"/>
      <c r="AF68" s="560"/>
      <c r="AG68" s="560"/>
      <c r="AH68" s="560"/>
      <c r="AI68" s="560"/>
      <c r="AJ68" s="560"/>
      <c r="AK68" s="560"/>
      <c r="AL68" s="560"/>
      <c r="AM68" s="560"/>
      <c r="AN68" s="560"/>
      <c r="AO68" s="560"/>
    </row>
    <row r="69" spans="1:41" ht="15.75">
      <c r="A69" s="520"/>
      <c r="B69" s="519"/>
      <c r="E69" s="591"/>
      <c r="F69" s="591"/>
      <c r="G69" s="591"/>
      <c r="H69" s="591"/>
      <c r="I69" s="591"/>
      <c r="J69" s="591"/>
      <c r="K69" s="591"/>
      <c r="L69" s="519"/>
      <c r="M69" s="591"/>
      <c r="N69" s="591"/>
      <c r="O69" s="591"/>
      <c r="P69" s="591"/>
      <c r="Q69" s="591"/>
      <c r="R69" s="519"/>
      <c r="S69" s="519"/>
      <c r="T69" s="519"/>
      <c r="U69" s="519"/>
      <c r="V69" s="519"/>
      <c r="W69" s="560"/>
      <c r="X69" s="560"/>
      <c r="Y69" s="560"/>
      <c r="Z69" s="560"/>
      <c r="AA69" s="560"/>
      <c r="AB69" s="560"/>
      <c r="AC69" s="560"/>
      <c r="AD69" s="560"/>
      <c r="AE69" s="560"/>
      <c r="AF69" s="560"/>
      <c r="AG69" s="560"/>
      <c r="AH69" s="560"/>
      <c r="AI69" s="560"/>
      <c r="AJ69" s="560"/>
      <c r="AK69" s="560"/>
      <c r="AL69" s="560"/>
      <c r="AM69" s="560"/>
      <c r="AN69" s="560"/>
      <c r="AO69" s="560"/>
    </row>
    <row r="70" spans="1:41" ht="15.75">
      <c r="A70" s="520"/>
      <c r="B70" s="519"/>
      <c r="E70" s="591"/>
      <c r="F70" s="591"/>
      <c r="G70" s="591"/>
      <c r="H70" s="591"/>
      <c r="I70" s="591"/>
      <c r="J70" s="591"/>
      <c r="K70" s="591"/>
      <c r="L70" s="519"/>
      <c r="M70" s="591"/>
      <c r="N70" s="591"/>
      <c r="O70" s="591"/>
      <c r="P70" s="591"/>
      <c r="Q70" s="591"/>
      <c r="R70" s="519"/>
      <c r="S70" s="519"/>
      <c r="T70" s="519"/>
      <c r="U70" s="519"/>
      <c r="V70" s="519"/>
      <c r="W70" s="560"/>
      <c r="X70" s="560"/>
      <c r="Y70" s="560"/>
      <c r="Z70" s="560"/>
      <c r="AA70" s="560"/>
      <c r="AB70" s="560"/>
      <c r="AC70" s="560"/>
      <c r="AD70" s="560"/>
      <c r="AE70" s="560"/>
      <c r="AF70" s="560"/>
      <c r="AG70" s="560"/>
      <c r="AH70" s="560"/>
      <c r="AI70" s="560"/>
      <c r="AJ70" s="560"/>
      <c r="AK70" s="560"/>
      <c r="AL70" s="560"/>
      <c r="AM70" s="560"/>
      <c r="AN70" s="560"/>
      <c r="AO70" s="560"/>
    </row>
    <row r="71" spans="1:41" ht="15.75">
      <c r="A71" s="520"/>
      <c r="B71" s="519"/>
      <c r="E71" s="591"/>
      <c r="F71" s="591"/>
      <c r="G71" s="591"/>
      <c r="H71" s="591"/>
      <c r="I71" s="591"/>
      <c r="J71" s="591"/>
      <c r="K71" s="591"/>
      <c r="L71" s="519"/>
      <c r="M71" s="591"/>
      <c r="N71" s="591"/>
      <c r="O71" s="591"/>
      <c r="P71" s="591"/>
      <c r="Q71" s="591"/>
      <c r="R71" s="519"/>
      <c r="S71" s="519"/>
      <c r="T71" s="519"/>
      <c r="U71" s="519"/>
      <c r="V71" s="519"/>
      <c r="W71" s="560"/>
      <c r="X71" s="560"/>
      <c r="Y71" s="560"/>
      <c r="Z71" s="560"/>
      <c r="AA71" s="560"/>
      <c r="AB71" s="560"/>
      <c r="AC71" s="560"/>
      <c r="AD71" s="560"/>
      <c r="AE71" s="560"/>
      <c r="AF71" s="560"/>
      <c r="AG71" s="560"/>
      <c r="AH71" s="560"/>
      <c r="AI71" s="560"/>
      <c r="AJ71" s="560"/>
      <c r="AK71" s="560"/>
      <c r="AL71" s="560"/>
      <c r="AM71" s="560"/>
      <c r="AN71" s="560"/>
      <c r="AO71" s="560"/>
    </row>
    <row r="72" spans="1:41" ht="15.75">
      <c r="A72" s="520"/>
      <c r="B72" s="519"/>
      <c r="E72" s="591"/>
      <c r="F72" s="591"/>
      <c r="G72" s="591"/>
      <c r="H72" s="591"/>
      <c r="I72" s="591"/>
      <c r="J72" s="591"/>
      <c r="K72" s="591"/>
      <c r="L72" s="519"/>
      <c r="M72" s="591"/>
      <c r="N72" s="591"/>
      <c r="O72" s="591"/>
      <c r="P72" s="591"/>
      <c r="Q72" s="591"/>
      <c r="R72" s="519"/>
      <c r="S72" s="519"/>
      <c r="T72" s="519"/>
      <c r="U72" s="519"/>
      <c r="V72" s="519"/>
      <c r="W72" s="560"/>
      <c r="X72" s="560"/>
      <c r="Y72" s="560"/>
      <c r="Z72" s="560"/>
      <c r="AA72" s="560"/>
      <c r="AB72" s="560"/>
      <c r="AC72" s="560"/>
      <c r="AD72" s="560"/>
      <c r="AE72" s="560"/>
      <c r="AF72" s="560"/>
      <c r="AG72" s="560"/>
      <c r="AH72" s="560"/>
      <c r="AI72" s="560"/>
      <c r="AJ72" s="560"/>
      <c r="AK72" s="560"/>
      <c r="AL72" s="560"/>
      <c r="AM72" s="560"/>
      <c r="AN72" s="560"/>
      <c r="AO72" s="560"/>
    </row>
    <row r="73" spans="1:41" ht="15.75">
      <c r="A73" s="520"/>
      <c r="B73" s="519"/>
      <c r="E73" s="591"/>
      <c r="F73" s="591"/>
      <c r="G73" s="591"/>
      <c r="H73" s="591"/>
      <c r="I73" s="591"/>
      <c r="J73" s="591"/>
      <c r="K73" s="591"/>
      <c r="L73" s="519"/>
      <c r="M73" s="591"/>
      <c r="N73" s="591"/>
      <c r="O73" s="591"/>
      <c r="P73" s="591"/>
      <c r="Q73" s="591"/>
      <c r="R73" s="519"/>
      <c r="S73" s="519"/>
      <c r="T73" s="519"/>
      <c r="U73" s="519"/>
      <c r="V73" s="519"/>
      <c r="W73" s="560"/>
      <c r="X73" s="560"/>
      <c r="Y73" s="560"/>
      <c r="Z73" s="560"/>
      <c r="AA73" s="560"/>
      <c r="AB73" s="560"/>
      <c r="AC73" s="560"/>
      <c r="AD73" s="560"/>
      <c r="AE73" s="560"/>
      <c r="AF73" s="560"/>
      <c r="AG73" s="560"/>
      <c r="AH73" s="560"/>
      <c r="AI73" s="560"/>
      <c r="AJ73" s="560"/>
      <c r="AK73" s="560"/>
      <c r="AL73" s="560"/>
      <c r="AM73" s="560"/>
      <c r="AN73" s="560"/>
      <c r="AO73" s="560"/>
    </row>
    <row r="74" spans="1:41" ht="15.75">
      <c r="A74" s="520"/>
      <c r="B74" s="519"/>
      <c r="E74" s="591"/>
      <c r="F74" s="591"/>
      <c r="G74" s="591"/>
      <c r="H74" s="591"/>
      <c r="I74" s="591"/>
      <c r="J74" s="591"/>
      <c r="K74" s="591"/>
      <c r="L74" s="519"/>
      <c r="M74" s="591"/>
      <c r="N74" s="591"/>
      <c r="O74" s="591"/>
      <c r="P74" s="591"/>
      <c r="Q74" s="591"/>
      <c r="R74" s="519"/>
      <c r="S74" s="519"/>
      <c r="T74" s="519"/>
      <c r="U74" s="519"/>
      <c r="V74" s="519"/>
      <c r="W74" s="560"/>
      <c r="X74" s="560"/>
      <c r="Y74" s="560"/>
      <c r="Z74" s="560"/>
      <c r="AA74" s="560"/>
      <c r="AB74" s="560"/>
      <c r="AC74" s="560"/>
      <c r="AD74" s="560"/>
      <c r="AE74" s="560"/>
      <c r="AF74" s="560"/>
      <c r="AG74" s="560"/>
      <c r="AH74" s="560"/>
      <c r="AI74" s="560"/>
      <c r="AJ74" s="560"/>
      <c r="AK74" s="560"/>
      <c r="AL74" s="560"/>
      <c r="AM74" s="560"/>
      <c r="AN74" s="560"/>
      <c r="AO74" s="560"/>
    </row>
    <row r="75" spans="1:41" ht="15.75">
      <c r="A75" s="520"/>
      <c r="B75" s="519"/>
      <c r="E75" s="591"/>
      <c r="F75" s="591"/>
      <c r="G75" s="591"/>
      <c r="H75" s="591"/>
      <c r="I75" s="591"/>
      <c r="J75" s="591"/>
      <c r="K75" s="591"/>
      <c r="L75" s="519"/>
      <c r="M75" s="591"/>
      <c r="N75" s="591"/>
      <c r="O75" s="591"/>
      <c r="P75" s="591"/>
      <c r="Q75" s="591"/>
      <c r="R75" s="519"/>
      <c r="S75" s="519"/>
      <c r="T75" s="519"/>
      <c r="U75" s="519"/>
      <c r="V75" s="519"/>
      <c r="W75" s="560"/>
      <c r="X75" s="560"/>
      <c r="Y75" s="560"/>
      <c r="Z75" s="560"/>
      <c r="AA75" s="560"/>
      <c r="AB75" s="560"/>
      <c r="AC75" s="560"/>
      <c r="AD75" s="560"/>
      <c r="AE75" s="560"/>
      <c r="AF75" s="560"/>
      <c r="AG75" s="560"/>
      <c r="AH75" s="560"/>
      <c r="AI75" s="560"/>
      <c r="AJ75" s="560"/>
      <c r="AK75" s="560"/>
      <c r="AL75" s="560"/>
      <c r="AM75" s="560"/>
      <c r="AN75" s="560"/>
      <c r="AO75" s="560"/>
    </row>
    <row r="76" spans="1:41" ht="15.75">
      <c r="A76" s="520"/>
      <c r="B76" s="519"/>
      <c r="E76" s="591"/>
      <c r="F76" s="591"/>
      <c r="G76" s="591"/>
      <c r="H76" s="591"/>
      <c r="I76" s="591"/>
      <c r="J76" s="591"/>
      <c r="K76" s="591"/>
      <c r="L76" s="519"/>
      <c r="M76" s="591"/>
      <c r="N76" s="591"/>
      <c r="O76" s="591"/>
      <c r="P76" s="591"/>
      <c r="Q76" s="591"/>
      <c r="R76" s="519"/>
      <c r="S76" s="519"/>
      <c r="T76" s="519"/>
      <c r="U76" s="519"/>
      <c r="V76" s="519"/>
      <c r="W76" s="560"/>
      <c r="X76" s="560"/>
      <c r="Y76" s="560"/>
      <c r="Z76" s="560"/>
      <c r="AA76" s="560"/>
      <c r="AB76" s="560"/>
      <c r="AC76" s="560"/>
      <c r="AD76" s="560"/>
      <c r="AE76" s="560"/>
      <c r="AF76" s="560"/>
      <c r="AG76" s="560"/>
      <c r="AH76" s="560"/>
      <c r="AI76" s="560"/>
      <c r="AJ76" s="560"/>
      <c r="AK76" s="560"/>
      <c r="AL76" s="560"/>
      <c r="AM76" s="560"/>
      <c r="AN76" s="560"/>
      <c r="AO76" s="560"/>
    </row>
    <row r="77" spans="1:41" ht="15.75">
      <c r="A77" s="520"/>
      <c r="B77" s="519"/>
      <c r="E77" s="591"/>
      <c r="F77" s="591"/>
      <c r="G77" s="591"/>
      <c r="H77" s="591"/>
      <c r="I77" s="591"/>
      <c r="J77" s="591"/>
      <c r="K77" s="591"/>
      <c r="L77" s="519"/>
      <c r="M77" s="591"/>
      <c r="N77" s="591"/>
      <c r="O77" s="591"/>
      <c r="P77" s="591"/>
      <c r="Q77" s="591"/>
      <c r="R77" s="519"/>
      <c r="S77" s="519"/>
      <c r="T77" s="519"/>
      <c r="U77" s="519"/>
      <c r="V77" s="519"/>
      <c r="W77" s="560"/>
      <c r="X77" s="560"/>
      <c r="Y77" s="560"/>
      <c r="Z77" s="560"/>
      <c r="AA77" s="560"/>
      <c r="AB77" s="560"/>
      <c r="AC77" s="560"/>
      <c r="AD77" s="560"/>
      <c r="AE77" s="560"/>
      <c r="AF77" s="560"/>
      <c r="AG77" s="560"/>
      <c r="AH77" s="560"/>
      <c r="AI77" s="560"/>
      <c r="AJ77" s="560"/>
      <c r="AK77" s="560"/>
      <c r="AL77" s="560"/>
      <c r="AM77" s="560"/>
      <c r="AN77" s="560"/>
      <c r="AO77" s="560"/>
    </row>
    <row r="78" spans="1:41" ht="15.75">
      <c r="A78" s="520"/>
      <c r="B78" s="519"/>
      <c r="E78" s="591"/>
      <c r="F78" s="591"/>
      <c r="G78" s="591"/>
      <c r="H78" s="591"/>
      <c r="I78" s="591"/>
      <c r="J78" s="591"/>
      <c r="K78" s="591"/>
      <c r="L78" s="519"/>
      <c r="M78" s="591"/>
      <c r="N78" s="591"/>
      <c r="O78" s="591"/>
      <c r="P78" s="591"/>
      <c r="Q78" s="591"/>
      <c r="R78" s="519"/>
      <c r="S78" s="519"/>
      <c r="T78" s="519"/>
      <c r="U78" s="519"/>
      <c r="V78" s="519"/>
      <c r="W78" s="560"/>
      <c r="X78" s="560"/>
      <c r="Y78" s="560"/>
      <c r="Z78" s="560"/>
      <c r="AA78" s="560"/>
      <c r="AB78" s="560"/>
      <c r="AC78" s="560"/>
      <c r="AD78" s="560"/>
      <c r="AE78" s="560"/>
      <c r="AF78" s="560"/>
      <c r="AG78" s="560"/>
      <c r="AH78" s="560"/>
      <c r="AI78" s="560"/>
      <c r="AJ78" s="560"/>
      <c r="AK78" s="560"/>
      <c r="AL78" s="560"/>
      <c r="AM78" s="560"/>
      <c r="AN78" s="560"/>
      <c r="AO78" s="560"/>
    </row>
    <row r="79" spans="1:41" ht="15.75">
      <c r="A79" s="520"/>
      <c r="B79" s="519"/>
      <c r="E79" s="591"/>
      <c r="F79" s="591"/>
      <c r="G79" s="591"/>
      <c r="H79" s="591"/>
      <c r="I79" s="591"/>
      <c r="J79" s="591"/>
      <c r="K79" s="591"/>
      <c r="L79" s="519"/>
      <c r="M79" s="591"/>
      <c r="N79" s="591"/>
      <c r="O79" s="591"/>
      <c r="P79" s="591"/>
      <c r="Q79" s="591"/>
      <c r="R79" s="519"/>
      <c r="S79" s="519"/>
      <c r="T79" s="519"/>
      <c r="U79" s="519"/>
      <c r="V79" s="519"/>
      <c r="W79" s="560"/>
      <c r="X79" s="560"/>
      <c r="Y79" s="560"/>
      <c r="Z79" s="560"/>
      <c r="AA79" s="560"/>
      <c r="AB79" s="560"/>
      <c r="AC79" s="560"/>
      <c r="AD79" s="560"/>
      <c r="AE79" s="560"/>
      <c r="AF79" s="560"/>
      <c r="AG79" s="560"/>
      <c r="AH79" s="560"/>
      <c r="AI79" s="560"/>
      <c r="AJ79" s="560"/>
      <c r="AK79" s="560"/>
      <c r="AL79" s="560"/>
      <c r="AM79" s="560"/>
      <c r="AN79" s="560"/>
      <c r="AO79" s="560"/>
    </row>
    <row r="80" spans="1:41" ht="15.75">
      <c r="A80" s="520"/>
      <c r="B80" s="519"/>
      <c r="E80" s="591"/>
      <c r="F80" s="591"/>
      <c r="G80" s="591"/>
      <c r="H80" s="591"/>
      <c r="I80" s="591"/>
      <c r="J80" s="591"/>
      <c r="K80" s="591"/>
      <c r="L80" s="519"/>
      <c r="M80" s="591"/>
      <c r="N80" s="591"/>
      <c r="O80" s="591"/>
      <c r="P80" s="591"/>
      <c r="Q80" s="591"/>
      <c r="R80" s="519"/>
      <c r="S80" s="519"/>
      <c r="T80" s="519"/>
      <c r="U80" s="519"/>
      <c r="V80" s="519"/>
      <c r="W80" s="560"/>
      <c r="X80" s="560"/>
      <c r="Y80" s="560"/>
      <c r="Z80" s="560"/>
      <c r="AA80" s="560"/>
      <c r="AB80" s="560"/>
      <c r="AC80" s="560"/>
      <c r="AD80" s="560"/>
      <c r="AE80" s="560"/>
      <c r="AF80" s="560"/>
      <c r="AG80" s="560"/>
      <c r="AH80" s="560"/>
      <c r="AI80" s="560"/>
      <c r="AJ80" s="560"/>
      <c r="AK80" s="560"/>
      <c r="AL80" s="560"/>
      <c r="AM80" s="560"/>
      <c r="AN80" s="560"/>
      <c r="AO80" s="560"/>
    </row>
    <row r="81" spans="1:41" ht="15.75">
      <c r="A81" s="520"/>
      <c r="B81" s="519"/>
      <c r="E81" s="591"/>
      <c r="F81" s="591"/>
      <c r="G81" s="591"/>
      <c r="H81" s="591"/>
      <c r="I81" s="591"/>
      <c r="J81" s="591"/>
      <c r="K81" s="591"/>
      <c r="L81" s="519"/>
      <c r="M81" s="591"/>
      <c r="N81" s="591"/>
      <c r="O81" s="591"/>
      <c r="P81" s="591"/>
      <c r="Q81" s="591"/>
      <c r="R81" s="519"/>
      <c r="S81" s="519"/>
      <c r="T81" s="519"/>
      <c r="U81" s="519"/>
      <c r="V81" s="519"/>
      <c r="W81" s="560"/>
      <c r="X81" s="560"/>
      <c r="Y81" s="560"/>
      <c r="Z81" s="560"/>
      <c r="AA81" s="560"/>
      <c r="AB81" s="560"/>
      <c r="AC81" s="560"/>
      <c r="AD81" s="560"/>
      <c r="AE81" s="560"/>
      <c r="AF81" s="560"/>
      <c r="AG81" s="560"/>
      <c r="AH81" s="560"/>
      <c r="AI81" s="560"/>
      <c r="AJ81" s="560"/>
      <c r="AK81" s="560"/>
      <c r="AL81" s="560"/>
      <c r="AM81" s="560"/>
      <c r="AN81" s="560"/>
      <c r="AO81" s="560"/>
    </row>
    <row r="82" spans="1:41" ht="15.75">
      <c r="A82" s="520"/>
      <c r="B82" s="519"/>
      <c r="E82" s="591"/>
      <c r="F82" s="591"/>
      <c r="G82" s="591"/>
      <c r="H82" s="591"/>
      <c r="I82" s="591"/>
      <c r="J82" s="591"/>
      <c r="K82" s="591"/>
      <c r="L82" s="519"/>
      <c r="M82" s="591"/>
      <c r="N82" s="591"/>
      <c r="O82" s="591"/>
      <c r="P82" s="591"/>
      <c r="Q82" s="591"/>
      <c r="R82" s="519"/>
      <c r="S82" s="519"/>
      <c r="T82" s="519"/>
      <c r="U82" s="519"/>
      <c r="V82" s="519"/>
      <c r="W82" s="560"/>
      <c r="X82" s="560"/>
      <c r="Y82" s="560"/>
      <c r="Z82" s="560"/>
      <c r="AA82" s="560"/>
      <c r="AB82" s="560"/>
      <c r="AC82" s="560"/>
      <c r="AD82" s="560"/>
      <c r="AE82" s="560"/>
      <c r="AF82" s="560"/>
      <c r="AG82" s="560"/>
      <c r="AH82" s="560"/>
      <c r="AI82" s="560"/>
      <c r="AJ82" s="560"/>
      <c r="AK82" s="560"/>
      <c r="AL82" s="560"/>
      <c r="AM82" s="560"/>
      <c r="AN82" s="560"/>
      <c r="AO82" s="560"/>
    </row>
    <row r="83" spans="1:41" ht="15.75">
      <c r="A83" s="520"/>
      <c r="B83" s="519"/>
      <c r="E83" s="591"/>
      <c r="F83" s="591"/>
      <c r="G83" s="591"/>
      <c r="H83" s="591"/>
      <c r="I83" s="591"/>
      <c r="J83" s="591"/>
      <c r="K83" s="591"/>
      <c r="L83" s="519"/>
      <c r="M83" s="591"/>
      <c r="N83" s="591"/>
      <c r="O83" s="591"/>
      <c r="P83" s="591"/>
      <c r="Q83" s="591"/>
      <c r="R83" s="519"/>
      <c r="S83" s="519"/>
      <c r="T83" s="519"/>
      <c r="U83" s="519"/>
      <c r="V83" s="519"/>
      <c r="W83" s="560"/>
      <c r="X83" s="560"/>
      <c r="Y83" s="560"/>
      <c r="Z83" s="560"/>
      <c r="AA83" s="560"/>
      <c r="AB83" s="560"/>
      <c r="AC83" s="560"/>
      <c r="AD83" s="560"/>
      <c r="AE83" s="560"/>
      <c r="AF83" s="560"/>
      <c r="AG83" s="560"/>
      <c r="AH83" s="560"/>
      <c r="AI83" s="560"/>
      <c r="AJ83" s="560"/>
      <c r="AK83" s="560"/>
      <c r="AL83" s="560"/>
      <c r="AM83" s="560"/>
      <c r="AN83" s="560"/>
      <c r="AO83" s="560"/>
    </row>
    <row r="84" spans="1:41" ht="15.75">
      <c r="A84" s="520"/>
      <c r="B84" s="519"/>
      <c r="E84" s="591"/>
      <c r="F84" s="591"/>
      <c r="G84" s="591"/>
      <c r="H84" s="591"/>
      <c r="I84" s="591"/>
      <c r="J84" s="591"/>
      <c r="K84" s="591"/>
      <c r="L84" s="519"/>
      <c r="M84" s="591"/>
      <c r="N84" s="591"/>
      <c r="O84" s="591"/>
      <c r="P84" s="591"/>
      <c r="Q84" s="591"/>
      <c r="R84" s="519"/>
      <c r="S84" s="519"/>
      <c r="T84" s="519"/>
      <c r="U84" s="519"/>
      <c r="V84" s="519"/>
      <c r="W84" s="560"/>
      <c r="X84" s="560"/>
      <c r="Y84" s="560"/>
      <c r="Z84" s="560"/>
      <c r="AA84" s="560"/>
      <c r="AB84" s="560"/>
      <c r="AC84" s="560"/>
      <c r="AD84" s="560"/>
      <c r="AE84" s="560"/>
      <c r="AF84" s="560"/>
      <c r="AG84" s="560"/>
      <c r="AH84" s="560"/>
      <c r="AI84" s="560"/>
      <c r="AJ84" s="560"/>
      <c r="AK84" s="560"/>
      <c r="AL84" s="560"/>
      <c r="AM84" s="560"/>
      <c r="AN84" s="560"/>
      <c r="AO84" s="560"/>
    </row>
    <row r="85" spans="1:41" ht="15.75">
      <c r="A85" s="520"/>
      <c r="B85" s="519"/>
      <c r="E85" s="591"/>
      <c r="F85" s="591"/>
      <c r="G85" s="591"/>
      <c r="H85" s="591"/>
      <c r="I85" s="591"/>
      <c r="J85" s="591"/>
      <c r="K85" s="591"/>
      <c r="L85" s="519"/>
      <c r="M85" s="591"/>
      <c r="N85" s="591"/>
      <c r="O85" s="591"/>
      <c r="P85" s="591"/>
      <c r="Q85" s="591"/>
      <c r="R85" s="519"/>
      <c r="S85" s="519"/>
      <c r="T85" s="519"/>
      <c r="U85" s="519"/>
      <c r="V85" s="519"/>
      <c r="W85" s="560"/>
      <c r="X85" s="560"/>
      <c r="Y85" s="560"/>
      <c r="Z85" s="560"/>
      <c r="AA85" s="560"/>
      <c r="AB85" s="560"/>
      <c r="AC85" s="560"/>
      <c r="AD85" s="560"/>
      <c r="AE85" s="560"/>
      <c r="AF85" s="560"/>
      <c r="AG85" s="560"/>
      <c r="AH85" s="560"/>
      <c r="AI85" s="560"/>
      <c r="AJ85" s="560"/>
      <c r="AK85" s="560"/>
      <c r="AL85" s="560"/>
      <c r="AM85" s="560"/>
      <c r="AN85" s="560"/>
      <c r="AO85" s="560"/>
    </row>
    <row r="86" spans="1:41" ht="15.75">
      <c r="A86" s="520"/>
      <c r="B86" s="519"/>
      <c r="E86" s="591"/>
      <c r="F86" s="591"/>
      <c r="G86" s="591"/>
      <c r="H86" s="591"/>
      <c r="I86" s="591"/>
      <c r="J86" s="591"/>
      <c r="K86" s="591"/>
      <c r="L86" s="519"/>
      <c r="M86" s="591"/>
      <c r="N86" s="591"/>
      <c r="O86" s="591"/>
      <c r="P86" s="591"/>
      <c r="Q86" s="591"/>
      <c r="R86" s="519"/>
      <c r="S86" s="519"/>
      <c r="T86" s="519"/>
      <c r="U86" s="519"/>
      <c r="V86" s="519"/>
      <c r="W86" s="560"/>
      <c r="X86" s="560"/>
      <c r="Y86" s="560"/>
      <c r="Z86" s="560"/>
      <c r="AA86" s="560"/>
      <c r="AB86" s="560"/>
      <c r="AC86" s="560"/>
      <c r="AD86" s="560"/>
      <c r="AE86" s="560"/>
      <c r="AF86" s="560"/>
      <c r="AG86" s="560"/>
      <c r="AH86" s="560"/>
      <c r="AI86" s="560"/>
      <c r="AJ86" s="560"/>
      <c r="AK86" s="560"/>
      <c r="AL86" s="560"/>
      <c r="AM86" s="560"/>
      <c r="AN86" s="560"/>
      <c r="AO86" s="560"/>
    </row>
    <row r="87" spans="1:41" ht="15.75">
      <c r="A87" s="520"/>
      <c r="B87" s="519"/>
      <c r="E87" s="591"/>
      <c r="F87" s="591"/>
      <c r="G87" s="591"/>
      <c r="H87" s="591"/>
      <c r="I87" s="591"/>
      <c r="J87" s="591"/>
      <c r="K87" s="591"/>
      <c r="L87" s="519"/>
      <c r="M87" s="591"/>
      <c r="N87" s="591"/>
      <c r="O87" s="591"/>
      <c r="P87" s="591"/>
      <c r="Q87" s="591"/>
      <c r="R87" s="519"/>
      <c r="S87" s="519"/>
      <c r="T87" s="519"/>
      <c r="U87" s="519"/>
      <c r="V87" s="519"/>
      <c r="W87" s="560"/>
      <c r="X87" s="560"/>
      <c r="Y87" s="560"/>
      <c r="Z87" s="560"/>
      <c r="AA87" s="560"/>
      <c r="AB87" s="560"/>
      <c r="AC87" s="560"/>
      <c r="AD87" s="560"/>
      <c r="AE87" s="560"/>
      <c r="AF87" s="560"/>
      <c r="AG87" s="560"/>
      <c r="AH87" s="560"/>
      <c r="AI87" s="560"/>
      <c r="AJ87" s="560"/>
      <c r="AK87" s="560"/>
      <c r="AL87" s="560"/>
      <c r="AM87" s="560"/>
      <c r="AN87" s="560"/>
      <c r="AO87" s="560"/>
    </row>
    <row r="88" spans="1:41" ht="15.75">
      <c r="A88" s="520"/>
      <c r="B88" s="519"/>
      <c r="E88" s="591"/>
      <c r="F88" s="591"/>
      <c r="G88" s="591"/>
      <c r="H88" s="591"/>
      <c r="I88" s="591"/>
      <c r="J88" s="591"/>
      <c r="K88" s="591"/>
      <c r="L88" s="519"/>
      <c r="M88" s="591"/>
      <c r="N88" s="591"/>
      <c r="O88" s="591"/>
      <c r="P88" s="591"/>
      <c r="Q88" s="591"/>
      <c r="R88" s="519"/>
      <c r="S88" s="519"/>
      <c r="T88" s="519"/>
      <c r="U88" s="519"/>
      <c r="V88" s="519"/>
      <c r="W88" s="560"/>
      <c r="X88" s="560"/>
      <c r="Y88" s="560"/>
      <c r="Z88" s="560"/>
      <c r="AA88" s="560"/>
      <c r="AB88" s="560"/>
      <c r="AC88" s="560"/>
      <c r="AD88" s="560"/>
      <c r="AE88" s="560"/>
      <c r="AF88" s="560"/>
      <c r="AG88" s="560"/>
      <c r="AH88" s="560"/>
      <c r="AI88" s="560"/>
      <c r="AJ88" s="560"/>
      <c r="AK88" s="560"/>
      <c r="AL88" s="560"/>
      <c r="AM88" s="560"/>
      <c r="AN88" s="560"/>
      <c r="AO88" s="560"/>
    </row>
    <row r="89" spans="1:41" ht="15.75">
      <c r="A89" s="520"/>
      <c r="B89" s="519"/>
      <c r="E89" s="591"/>
      <c r="F89" s="591"/>
      <c r="G89" s="591"/>
      <c r="H89" s="591"/>
      <c r="I89" s="591"/>
      <c r="J89" s="591"/>
      <c r="K89" s="591"/>
      <c r="L89" s="519"/>
      <c r="M89" s="591"/>
      <c r="N89" s="591"/>
      <c r="O89" s="591"/>
      <c r="P89" s="591"/>
      <c r="Q89" s="591"/>
      <c r="R89" s="519"/>
      <c r="S89" s="519"/>
      <c r="T89" s="519"/>
      <c r="U89" s="519"/>
      <c r="V89" s="519"/>
      <c r="W89" s="560"/>
      <c r="X89" s="560"/>
      <c r="Y89" s="560"/>
      <c r="Z89" s="560"/>
      <c r="AA89" s="560"/>
      <c r="AB89" s="560"/>
      <c r="AC89" s="560"/>
      <c r="AD89" s="560"/>
      <c r="AE89" s="560"/>
      <c r="AF89" s="560"/>
      <c r="AG89" s="560"/>
      <c r="AH89" s="560"/>
      <c r="AI89" s="560"/>
      <c r="AJ89" s="560"/>
      <c r="AK89" s="560"/>
      <c r="AL89" s="560"/>
      <c r="AM89" s="560"/>
      <c r="AN89" s="560"/>
      <c r="AO89" s="560"/>
    </row>
    <row r="90" spans="1:41" ht="15.75">
      <c r="A90" s="520"/>
      <c r="B90" s="519"/>
      <c r="E90" s="591"/>
      <c r="F90" s="591"/>
      <c r="G90" s="591"/>
      <c r="H90" s="591"/>
      <c r="I90" s="591"/>
      <c r="J90" s="591"/>
      <c r="K90" s="591"/>
      <c r="L90" s="519"/>
      <c r="M90" s="591"/>
      <c r="N90" s="591"/>
      <c r="O90" s="591"/>
      <c r="P90" s="591"/>
      <c r="Q90" s="591"/>
      <c r="R90" s="519"/>
      <c r="S90" s="519"/>
      <c r="T90" s="519"/>
      <c r="U90" s="519"/>
      <c r="V90" s="519"/>
      <c r="W90" s="560"/>
      <c r="X90" s="560"/>
      <c r="Y90" s="560"/>
      <c r="Z90" s="560"/>
      <c r="AA90" s="560"/>
      <c r="AB90" s="560"/>
      <c r="AC90" s="560"/>
      <c r="AD90" s="560"/>
      <c r="AE90" s="560"/>
      <c r="AF90" s="560"/>
      <c r="AG90" s="560"/>
      <c r="AH90" s="560"/>
      <c r="AI90" s="560"/>
      <c r="AJ90" s="560"/>
      <c r="AK90" s="560"/>
      <c r="AL90" s="560"/>
      <c r="AM90" s="560"/>
      <c r="AN90" s="560"/>
      <c r="AO90" s="560"/>
    </row>
    <row r="91" spans="1:41" ht="15.75">
      <c r="A91" s="520"/>
      <c r="B91" s="519"/>
      <c r="E91" s="591"/>
      <c r="F91" s="591"/>
      <c r="G91" s="591"/>
      <c r="H91" s="591"/>
      <c r="I91" s="591"/>
      <c r="J91" s="591"/>
      <c r="K91" s="591"/>
      <c r="L91" s="519"/>
      <c r="M91" s="591"/>
      <c r="N91" s="591"/>
      <c r="O91" s="591"/>
      <c r="P91" s="591"/>
      <c r="Q91" s="591"/>
      <c r="R91" s="519"/>
      <c r="S91" s="519"/>
      <c r="T91" s="519"/>
      <c r="U91" s="519"/>
      <c r="V91" s="519"/>
      <c r="W91" s="560"/>
      <c r="X91" s="560"/>
      <c r="Y91" s="560"/>
      <c r="Z91" s="560"/>
      <c r="AA91" s="560"/>
      <c r="AB91" s="560"/>
      <c r="AC91" s="560"/>
      <c r="AD91" s="560"/>
      <c r="AE91" s="560"/>
      <c r="AF91" s="560"/>
      <c r="AG91" s="560"/>
      <c r="AH91" s="560"/>
      <c r="AI91" s="560"/>
      <c r="AJ91" s="560"/>
      <c r="AK91" s="560"/>
      <c r="AL91" s="560"/>
      <c r="AM91" s="560"/>
      <c r="AN91" s="560"/>
      <c r="AO91" s="560"/>
    </row>
    <row r="92" spans="1:41" ht="15.75">
      <c r="A92" s="520"/>
      <c r="B92" s="519"/>
      <c r="E92" s="591"/>
      <c r="F92" s="591"/>
      <c r="G92" s="591"/>
      <c r="H92" s="591"/>
      <c r="I92" s="591"/>
      <c r="J92" s="591"/>
      <c r="K92" s="591"/>
      <c r="L92" s="519"/>
      <c r="M92" s="591"/>
      <c r="N92" s="591"/>
      <c r="O92" s="591"/>
      <c r="P92" s="591"/>
      <c r="Q92" s="591"/>
      <c r="R92" s="519"/>
      <c r="S92" s="519"/>
      <c r="T92" s="519"/>
      <c r="U92" s="519"/>
      <c r="V92" s="519"/>
      <c r="W92" s="560"/>
      <c r="X92" s="560"/>
      <c r="Y92" s="560"/>
      <c r="Z92" s="560"/>
      <c r="AA92" s="560"/>
      <c r="AB92" s="560"/>
      <c r="AC92" s="560"/>
      <c r="AD92" s="560"/>
      <c r="AE92" s="560"/>
      <c r="AF92" s="560"/>
      <c r="AG92" s="560"/>
      <c r="AH92" s="560"/>
      <c r="AI92" s="560"/>
      <c r="AJ92" s="560"/>
      <c r="AK92" s="560"/>
      <c r="AL92" s="560"/>
      <c r="AM92" s="560"/>
      <c r="AN92" s="560"/>
      <c r="AO92" s="560"/>
    </row>
    <row r="93" spans="1:41" ht="15.75">
      <c r="A93" s="520"/>
      <c r="B93" s="519"/>
      <c r="E93" s="591"/>
      <c r="F93" s="591"/>
      <c r="G93" s="591"/>
      <c r="H93" s="591"/>
      <c r="I93" s="591"/>
      <c r="J93" s="591"/>
      <c r="K93" s="591"/>
      <c r="L93" s="519"/>
      <c r="M93" s="591"/>
      <c r="N93" s="591"/>
      <c r="O93" s="591"/>
      <c r="P93" s="591"/>
      <c r="Q93" s="591"/>
      <c r="R93" s="519"/>
      <c r="S93" s="519"/>
      <c r="T93" s="519"/>
      <c r="U93" s="519"/>
      <c r="V93" s="519"/>
      <c r="W93" s="560"/>
      <c r="X93" s="560"/>
      <c r="Y93" s="560"/>
      <c r="Z93" s="560"/>
      <c r="AA93" s="560"/>
      <c r="AB93" s="560"/>
      <c r="AC93" s="560"/>
      <c r="AD93" s="560"/>
      <c r="AE93" s="560"/>
      <c r="AF93" s="560"/>
      <c r="AG93" s="560"/>
      <c r="AH93" s="560"/>
      <c r="AI93" s="560"/>
      <c r="AJ93" s="560"/>
      <c r="AK93" s="560"/>
      <c r="AL93" s="560"/>
      <c r="AM93" s="560"/>
      <c r="AN93" s="560"/>
      <c r="AO93" s="560"/>
    </row>
    <row r="94" spans="1:41" ht="15.75">
      <c r="A94" s="520"/>
      <c r="B94" s="519"/>
      <c r="E94" s="591"/>
      <c r="F94" s="591"/>
      <c r="G94" s="591"/>
      <c r="H94" s="591"/>
      <c r="I94" s="591"/>
      <c r="J94" s="591"/>
      <c r="K94" s="591"/>
      <c r="L94" s="519"/>
      <c r="M94" s="591"/>
      <c r="N94" s="591"/>
      <c r="O94" s="591"/>
      <c r="P94" s="591"/>
      <c r="Q94" s="591"/>
      <c r="R94" s="519"/>
      <c r="S94" s="519"/>
      <c r="T94" s="519"/>
      <c r="U94" s="519"/>
      <c r="V94" s="519"/>
      <c r="W94" s="560"/>
      <c r="X94" s="560"/>
      <c r="Y94" s="560"/>
      <c r="Z94" s="560"/>
      <c r="AA94" s="560"/>
      <c r="AB94" s="560"/>
      <c r="AC94" s="560"/>
      <c r="AD94" s="560"/>
      <c r="AE94" s="560"/>
      <c r="AF94" s="560"/>
      <c r="AG94" s="560"/>
      <c r="AH94" s="560"/>
      <c r="AI94" s="560"/>
      <c r="AJ94" s="560"/>
      <c r="AK94" s="560"/>
      <c r="AL94" s="560"/>
      <c r="AM94" s="560"/>
      <c r="AN94" s="560"/>
      <c r="AO94" s="560"/>
    </row>
    <row r="95" spans="1:41" ht="15.75">
      <c r="A95" s="520"/>
      <c r="B95" s="519"/>
      <c r="E95" s="591"/>
      <c r="F95" s="591"/>
      <c r="G95" s="591"/>
      <c r="H95" s="591"/>
      <c r="I95" s="591"/>
      <c r="J95" s="591"/>
      <c r="K95" s="591"/>
      <c r="L95" s="519"/>
      <c r="M95" s="591"/>
      <c r="N95" s="591"/>
      <c r="O95" s="591"/>
      <c r="P95" s="591"/>
      <c r="Q95" s="591"/>
      <c r="R95" s="519"/>
      <c r="S95" s="519"/>
      <c r="T95" s="519"/>
      <c r="U95" s="519"/>
      <c r="V95" s="519"/>
      <c r="W95" s="560"/>
      <c r="X95" s="560"/>
      <c r="Y95" s="560"/>
      <c r="Z95" s="560"/>
      <c r="AA95" s="560"/>
      <c r="AB95" s="560"/>
      <c r="AC95" s="560"/>
      <c r="AD95" s="560"/>
      <c r="AE95" s="560"/>
      <c r="AF95" s="560"/>
      <c r="AG95" s="560"/>
      <c r="AH95" s="560"/>
      <c r="AI95" s="560"/>
      <c r="AJ95" s="560"/>
      <c r="AK95" s="560"/>
      <c r="AL95" s="560"/>
      <c r="AM95" s="560"/>
      <c r="AN95" s="560"/>
      <c r="AO95" s="560"/>
    </row>
    <row r="96" spans="1:41" ht="15.75">
      <c r="A96" s="520"/>
      <c r="B96" s="519"/>
      <c r="E96" s="591"/>
      <c r="F96" s="591"/>
      <c r="G96" s="591"/>
      <c r="H96" s="591"/>
      <c r="I96" s="591"/>
      <c r="J96" s="591"/>
      <c r="K96" s="591"/>
      <c r="L96" s="519"/>
      <c r="M96" s="591"/>
      <c r="N96" s="591"/>
      <c r="O96" s="591"/>
      <c r="P96" s="591"/>
      <c r="Q96" s="591"/>
      <c r="R96" s="519"/>
      <c r="S96" s="519"/>
      <c r="T96" s="519"/>
      <c r="U96" s="519"/>
      <c r="V96" s="519"/>
      <c r="W96" s="560"/>
      <c r="X96" s="560"/>
      <c r="Y96" s="560"/>
      <c r="Z96" s="560"/>
      <c r="AA96" s="560"/>
      <c r="AB96" s="560"/>
      <c r="AC96" s="560"/>
      <c r="AD96" s="560"/>
      <c r="AE96" s="560"/>
      <c r="AF96" s="560"/>
      <c r="AG96" s="560"/>
      <c r="AH96" s="560"/>
      <c r="AI96" s="560"/>
      <c r="AJ96" s="560"/>
      <c r="AK96" s="560"/>
      <c r="AL96" s="560"/>
      <c r="AM96" s="560"/>
      <c r="AN96" s="560"/>
      <c r="AO96" s="560"/>
    </row>
    <row r="97" spans="1:41" ht="15.75">
      <c r="A97" s="520"/>
      <c r="B97" s="519"/>
      <c r="E97" s="591"/>
      <c r="F97" s="591"/>
      <c r="G97" s="591"/>
      <c r="H97" s="591"/>
      <c r="I97" s="591"/>
      <c r="J97" s="591"/>
      <c r="K97" s="591"/>
      <c r="L97" s="519"/>
      <c r="M97" s="591"/>
      <c r="N97" s="591"/>
      <c r="O97" s="591"/>
      <c r="P97" s="591"/>
      <c r="Q97" s="591"/>
      <c r="R97" s="519"/>
      <c r="S97" s="519"/>
      <c r="T97" s="519"/>
      <c r="U97" s="519"/>
      <c r="V97" s="519"/>
      <c r="W97" s="560"/>
      <c r="X97" s="560"/>
      <c r="Y97" s="560"/>
      <c r="Z97" s="560"/>
      <c r="AA97" s="560"/>
      <c r="AB97" s="560"/>
      <c r="AC97" s="560"/>
      <c r="AD97" s="560"/>
      <c r="AE97" s="560"/>
      <c r="AF97" s="560"/>
      <c r="AG97" s="560"/>
      <c r="AH97" s="560"/>
      <c r="AI97" s="560"/>
      <c r="AJ97" s="560"/>
      <c r="AK97" s="560"/>
      <c r="AL97" s="560"/>
      <c r="AM97" s="560"/>
      <c r="AN97" s="560"/>
      <c r="AO97" s="560"/>
    </row>
    <row r="98" spans="1:41" ht="15">
      <c r="A98" s="555"/>
      <c r="B98" s="555"/>
      <c r="C98" s="555"/>
      <c r="D98" s="555"/>
      <c r="E98" s="555"/>
      <c r="F98" s="555"/>
      <c r="G98" s="555"/>
      <c r="H98" s="555"/>
      <c r="I98" s="555"/>
      <c r="J98" s="555"/>
      <c r="K98" s="555"/>
      <c r="L98" s="555"/>
      <c r="M98" s="555"/>
      <c r="N98" s="555"/>
      <c r="O98" s="555"/>
      <c r="P98" s="555"/>
      <c r="Q98" s="555"/>
      <c r="R98" s="555"/>
      <c r="S98" s="555"/>
      <c r="T98" s="555"/>
      <c r="U98" s="555"/>
      <c r="V98" s="555"/>
      <c r="W98" s="560"/>
      <c r="X98" s="560"/>
      <c r="Y98" s="560"/>
      <c r="Z98" s="560"/>
      <c r="AA98" s="560"/>
      <c r="AB98" s="560"/>
      <c r="AC98" s="560"/>
      <c r="AD98" s="560"/>
      <c r="AE98" s="560"/>
      <c r="AF98" s="560"/>
      <c r="AG98" s="560"/>
      <c r="AH98" s="560"/>
      <c r="AI98" s="560"/>
      <c r="AJ98" s="560"/>
      <c r="AK98" s="560"/>
      <c r="AL98" s="560"/>
      <c r="AM98" s="560"/>
      <c r="AN98" s="560"/>
      <c r="AO98" s="560"/>
    </row>
    <row r="99" spans="1:41" ht="15">
      <c r="A99" s="555"/>
      <c r="B99" s="555"/>
      <c r="C99" s="555"/>
      <c r="D99" s="555"/>
      <c r="E99" s="555"/>
      <c r="F99" s="555"/>
      <c r="G99" s="555"/>
      <c r="H99" s="555"/>
      <c r="I99" s="555"/>
      <c r="J99" s="555"/>
      <c r="K99" s="555"/>
      <c r="L99" s="555"/>
      <c r="M99" s="555"/>
      <c r="N99" s="555"/>
      <c r="O99" s="555"/>
      <c r="P99" s="555"/>
      <c r="Q99" s="555"/>
      <c r="R99" s="555"/>
      <c r="S99" s="555"/>
      <c r="T99" s="555"/>
      <c r="U99" s="555"/>
      <c r="V99" s="555"/>
      <c r="W99" s="560"/>
      <c r="X99" s="560"/>
      <c r="Y99" s="560"/>
      <c r="Z99" s="560"/>
      <c r="AA99" s="560"/>
      <c r="AB99" s="560"/>
      <c r="AC99" s="560"/>
      <c r="AD99" s="560"/>
      <c r="AE99" s="560"/>
      <c r="AF99" s="560"/>
      <c r="AG99" s="560"/>
      <c r="AH99" s="560"/>
      <c r="AI99" s="560"/>
      <c r="AJ99" s="560"/>
      <c r="AK99" s="560"/>
      <c r="AL99" s="560"/>
      <c r="AM99" s="560"/>
      <c r="AN99" s="560"/>
      <c r="AO99" s="560"/>
    </row>
    <row r="100" spans="1:41" ht="15">
      <c r="A100" s="555"/>
      <c r="B100" s="555"/>
      <c r="C100" s="555"/>
      <c r="D100" s="555"/>
      <c r="E100" s="555"/>
      <c r="F100" s="555"/>
      <c r="G100" s="555"/>
      <c r="H100" s="555"/>
      <c r="I100" s="555"/>
      <c r="J100" s="555"/>
      <c r="K100" s="555"/>
      <c r="L100" s="555"/>
      <c r="M100" s="555"/>
      <c r="N100" s="555"/>
      <c r="O100" s="555"/>
      <c r="P100" s="555"/>
      <c r="Q100" s="555"/>
      <c r="R100" s="555"/>
      <c r="S100" s="555"/>
      <c r="T100" s="555"/>
      <c r="U100" s="555"/>
      <c r="V100" s="555"/>
      <c r="W100" s="560"/>
      <c r="X100" s="560"/>
      <c r="Y100" s="560"/>
      <c r="Z100" s="560"/>
      <c r="AA100" s="560"/>
      <c r="AB100" s="560"/>
      <c r="AC100" s="560"/>
      <c r="AD100" s="560"/>
      <c r="AE100" s="560"/>
      <c r="AF100" s="560"/>
      <c r="AG100" s="560"/>
      <c r="AH100" s="560"/>
      <c r="AI100" s="560"/>
      <c r="AJ100" s="560"/>
      <c r="AK100" s="560"/>
      <c r="AL100" s="560"/>
      <c r="AM100" s="560"/>
      <c r="AN100" s="560"/>
      <c r="AO100" s="560"/>
    </row>
    <row r="101" spans="1:22" ht="15">
      <c r="A101" s="555"/>
      <c r="B101" s="555"/>
      <c r="C101" s="555"/>
      <c r="D101" s="555"/>
      <c r="E101" s="555"/>
      <c r="F101" s="555"/>
      <c r="G101" s="555"/>
      <c r="H101" s="555"/>
      <c r="I101" s="555"/>
      <c r="J101" s="555"/>
      <c r="K101" s="555"/>
      <c r="L101" s="555"/>
      <c r="M101" s="555"/>
      <c r="N101" s="555"/>
      <c r="O101" s="555"/>
      <c r="P101" s="555"/>
      <c r="Q101" s="555"/>
      <c r="R101" s="555"/>
      <c r="S101" s="555"/>
      <c r="T101" s="555"/>
      <c r="U101" s="555"/>
      <c r="V101" s="555"/>
    </row>
    <row r="102" spans="1:22" ht="15">
      <c r="A102" s="555"/>
      <c r="B102" s="555"/>
      <c r="C102" s="555"/>
      <c r="D102" s="555"/>
      <c r="E102" s="555"/>
      <c r="F102" s="555"/>
      <c r="G102" s="555"/>
      <c r="H102" s="555"/>
      <c r="I102" s="555"/>
      <c r="J102" s="555"/>
      <c r="K102" s="555"/>
      <c r="L102" s="555"/>
      <c r="M102" s="555"/>
      <c r="N102" s="555"/>
      <c r="O102" s="555"/>
      <c r="P102" s="555"/>
      <c r="Q102" s="555"/>
      <c r="R102" s="555"/>
      <c r="S102" s="555"/>
      <c r="T102" s="555"/>
      <c r="U102" s="555"/>
      <c r="V102" s="555"/>
    </row>
    <row r="103" spans="1:22" ht="15">
      <c r="A103" s="555"/>
      <c r="B103" s="555"/>
      <c r="C103" s="555"/>
      <c r="D103" s="555"/>
      <c r="E103" s="555"/>
      <c r="F103" s="555"/>
      <c r="G103" s="555"/>
      <c r="H103" s="555"/>
      <c r="I103" s="555"/>
      <c r="J103" s="555"/>
      <c r="K103" s="555"/>
      <c r="L103" s="555"/>
      <c r="M103" s="555"/>
      <c r="N103" s="555"/>
      <c r="O103" s="555"/>
      <c r="P103" s="555"/>
      <c r="Q103" s="555"/>
      <c r="R103" s="555"/>
      <c r="S103" s="555"/>
      <c r="T103" s="555"/>
      <c r="U103" s="555"/>
      <c r="V103" s="555"/>
    </row>
    <row r="104" spans="1:22" ht="15">
      <c r="A104" s="555"/>
      <c r="B104" s="555"/>
      <c r="C104" s="555"/>
      <c r="D104" s="555"/>
      <c r="E104" s="555"/>
      <c r="F104" s="555"/>
      <c r="G104" s="555"/>
      <c r="H104" s="555"/>
      <c r="I104" s="555"/>
      <c r="J104" s="555"/>
      <c r="K104" s="555"/>
      <c r="L104" s="555"/>
      <c r="M104" s="555"/>
      <c r="N104" s="555"/>
      <c r="O104" s="555"/>
      <c r="P104" s="555"/>
      <c r="Q104" s="555"/>
      <c r="R104" s="555"/>
      <c r="S104" s="555"/>
      <c r="T104" s="555"/>
      <c r="U104" s="555"/>
      <c r="V104" s="555"/>
    </row>
    <row r="105" spans="1:22" ht="12.75" customHeight="1">
      <c r="A105" s="555"/>
      <c r="B105" s="555"/>
      <c r="C105" s="555"/>
      <c r="D105" s="555"/>
      <c r="E105" s="555"/>
      <c r="F105" s="555"/>
      <c r="G105" s="555"/>
      <c r="H105" s="555"/>
      <c r="I105" s="555"/>
      <c r="J105" s="555"/>
      <c r="K105" s="555"/>
      <c r="L105" s="555"/>
      <c r="M105" s="555"/>
      <c r="N105" s="555"/>
      <c r="O105" s="555"/>
      <c r="P105" s="555"/>
      <c r="Q105" s="555"/>
      <c r="R105" s="555"/>
      <c r="S105" s="555"/>
      <c r="T105" s="555"/>
      <c r="U105" s="555"/>
      <c r="V105" s="555"/>
    </row>
    <row r="106" spans="1:22" ht="12.75" customHeight="1">
      <c r="A106" s="555"/>
      <c r="B106" s="555"/>
      <c r="C106" s="555"/>
      <c r="D106" s="555"/>
      <c r="E106" s="555"/>
      <c r="F106" s="555"/>
      <c r="G106" s="555"/>
      <c r="H106" s="555"/>
      <c r="I106" s="555"/>
      <c r="J106" s="555"/>
      <c r="K106" s="555"/>
      <c r="L106" s="555"/>
      <c r="M106" s="555"/>
      <c r="N106" s="555"/>
      <c r="O106" s="555"/>
      <c r="P106" s="555"/>
      <c r="Q106" s="555"/>
      <c r="R106" s="555"/>
      <c r="S106" s="555"/>
      <c r="T106" s="555"/>
      <c r="U106" s="555"/>
      <c r="V106" s="555"/>
    </row>
    <row r="107" spans="1:22" ht="12.75" customHeight="1">
      <c r="A107" s="555"/>
      <c r="B107" s="555"/>
      <c r="C107" s="555"/>
      <c r="D107" s="555"/>
      <c r="E107" s="555"/>
      <c r="F107" s="555"/>
      <c r="G107" s="555"/>
      <c r="H107" s="555"/>
      <c r="I107" s="555"/>
      <c r="J107" s="555"/>
      <c r="K107" s="555"/>
      <c r="L107" s="555"/>
      <c r="M107" s="555"/>
      <c r="N107" s="555"/>
      <c r="O107" s="555"/>
      <c r="P107" s="555"/>
      <c r="Q107" s="555"/>
      <c r="R107" s="555"/>
      <c r="S107" s="555"/>
      <c r="T107" s="555"/>
      <c r="U107" s="555"/>
      <c r="V107" s="555"/>
    </row>
    <row r="108" spans="1:22" ht="12.75" customHeight="1">
      <c r="A108" s="555"/>
      <c r="B108" s="555"/>
      <c r="C108" s="555"/>
      <c r="D108" s="555"/>
      <c r="E108" s="555"/>
      <c r="F108" s="555"/>
      <c r="G108" s="555"/>
      <c r="H108" s="555"/>
      <c r="I108" s="555"/>
      <c r="J108" s="555"/>
      <c r="K108" s="555"/>
      <c r="L108" s="555"/>
      <c r="M108" s="555"/>
      <c r="N108" s="555"/>
      <c r="O108" s="555"/>
      <c r="P108" s="555"/>
      <c r="Q108" s="555"/>
      <c r="R108" s="555"/>
      <c r="S108" s="555"/>
      <c r="T108" s="555"/>
      <c r="U108" s="555"/>
      <c r="V108" s="555"/>
    </row>
    <row r="109" spans="1:22" ht="12.75" customHeight="1">
      <c r="A109" s="555"/>
      <c r="B109" s="555"/>
      <c r="C109" s="555"/>
      <c r="D109" s="555"/>
      <c r="E109" s="555"/>
      <c r="F109" s="555"/>
      <c r="G109" s="555"/>
      <c r="H109" s="555"/>
      <c r="I109" s="555"/>
      <c r="J109" s="555"/>
      <c r="K109" s="555"/>
      <c r="L109" s="555"/>
      <c r="M109" s="555"/>
      <c r="N109" s="555"/>
      <c r="O109" s="555"/>
      <c r="P109" s="555"/>
      <c r="Q109" s="555"/>
      <c r="R109" s="555"/>
      <c r="S109" s="555"/>
      <c r="T109" s="555"/>
      <c r="U109" s="555"/>
      <c r="V109" s="555"/>
    </row>
    <row r="110" spans="1:22" ht="12.75" customHeight="1">
      <c r="A110" s="555"/>
      <c r="B110" s="555"/>
      <c r="C110" s="555"/>
      <c r="D110" s="555"/>
      <c r="E110" s="555"/>
      <c r="F110" s="555"/>
      <c r="G110" s="555"/>
      <c r="H110" s="555"/>
      <c r="I110" s="555"/>
      <c r="J110" s="555"/>
      <c r="K110" s="555"/>
      <c r="L110" s="555"/>
      <c r="M110" s="555"/>
      <c r="N110" s="555"/>
      <c r="O110" s="555"/>
      <c r="P110" s="555"/>
      <c r="Q110" s="555"/>
      <c r="R110" s="555"/>
      <c r="S110" s="555"/>
      <c r="T110" s="555"/>
      <c r="U110" s="555"/>
      <c r="V110" s="555"/>
    </row>
    <row r="111" spans="1:22" ht="12.75" customHeight="1">
      <c r="A111" s="555"/>
      <c r="B111" s="555"/>
      <c r="C111" s="555"/>
      <c r="D111" s="555"/>
      <c r="E111" s="555"/>
      <c r="F111" s="555"/>
      <c r="G111" s="555"/>
      <c r="H111" s="555"/>
      <c r="I111" s="555"/>
      <c r="J111" s="555"/>
      <c r="K111" s="555"/>
      <c r="L111" s="555"/>
      <c r="M111" s="555"/>
      <c r="N111" s="555"/>
      <c r="O111" s="555"/>
      <c r="P111" s="555"/>
      <c r="Q111" s="555"/>
      <c r="R111" s="555"/>
      <c r="S111" s="555"/>
      <c r="T111" s="555"/>
      <c r="U111" s="555"/>
      <c r="V111" s="555"/>
    </row>
    <row r="112" spans="1:22" ht="12.75" customHeight="1">
      <c r="A112" s="555"/>
      <c r="B112" s="555"/>
      <c r="C112" s="555"/>
      <c r="D112" s="555"/>
      <c r="E112" s="555"/>
      <c r="F112" s="555"/>
      <c r="G112" s="555"/>
      <c r="H112" s="555"/>
      <c r="I112" s="555"/>
      <c r="J112" s="555"/>
      <c r="K112" s="555"/>
      <c r="L112" s="555"/>
      <c r="M112" s="555"/>
      <c r="N112" s="555"/>
      <c r="O112" s="555"/>
      <c r="P112" s="555"/>
      <c r="Q112" s="555"/>
      <c r="R112" s="555"/>
      <c r="S112" s="555"/>
      <c r="T112" s="555"/>
      <c r="U112" s="555"/>
      <c r="V112" s="555"/>
    </row>
    <row r="113" spans="1:22" ht="12.75" customHeight="1">
      <c r="A113" s="555"/>
      <c r="B113" s="555"/>
      <c r="C113" s="555"/>
      <c r="D113" s="555"/>
      <c r="E113" s="555"/>
      <c r="F113" s="555"/>
      <c r="G113" s="555"/>
      <c r="H113" s="555"/>
      <c r="I113" s="555"/>
      <c r="J113" s="555"/>
      <c r="K113" s="555"/>
      <c r="L113" s="555"/>
      <c r="M113" s="555"/>
      <c r="N113" s="555"/>
      <c r="O113" s="555"/>
      <c r="P113" s="555"/>
      <c r="Q113" s="555"/>
      <c r="R113" s="555"/>
      <c r="S113" s="555"/>
      <c r="T113" s="555"/>
      <c r="U113" s="555"/>
      <c r="V113" s="555"/>
    </row>
    <row r="114" spans="1:22" ht="12.75" customHeight="1">
      <c r="A114" s="555"/>
      <c r="B114" s="555"/>
      <c r="C114" s="555"/>
      <c r="D114" s="555"/>
      <c r="E114" s="555"/>
      <c r="F114" s="555"/>
      <c r="G114" s="555"/>
      <c r="H114" s="555"/>
      <c r="I114" s="555"/>
      <c r="J114" s="555"/>
      <c r="K114" s="555"/>
      <c r="L114" s="555"/>
      <c r="M114" s="555"/>
      <c r="N114" s="555"/>
      <c r="O114" s="555"/>
      <c r="P114" s="555"/>
      <c r="Q114" s="555"/>
      <c r="R114" s="555"/>
      <c r="S114" s="555"/>
      <c r="T114" s="555"/>
      <c r="U114" s="555"/>
      <c r="V114" s="555"/>
    </row>
    <row r="115" spans="1:22" ht="12.75" customHeight="1">
      <c r="A115" s="555"/>
      <c r="B115" s="555"/>
      <c r="C115" s="555"/>
      <c r="D115" s="555"/>
      <c r="E115" s="555"/>
      <c r="F115" s="555"/>
      <c r="G115" s="555"/>
      <c r="H115" s="555"/>
      <c r="I115" s="555"/>
      <c r="J115" s="555"/>
      <c r="K115" s="555"/>
      <c r="L115" s="555"/>
      <c r="M115" s="555"/>
      <c r="N115" s="555"/>
      <c r="O115" s="555"/>
      <c r="P115" s="555"/>
      <c r="Q115" s="555"/>
      <c r="R115" s="555"/>
      <c r="S115" s="555"/>
      <c r="T115" s="555"/>
      <c r="U115" s="555"/>
      <c r="V115" s="555"/>
    </row>
    <row r="116" spans="1:22" ht="15">
      <c r="A116" s="555"/>
      <c r="B116" s="555"/>
      <c r="C116" s="555"/>
      <c r="D116" s="555"/>
      <c r="E116" s="555"/>
      <c r="F116" s="555"/>
      <c r="G116" s="555"/>
      <c r="H116" s="555"/>
      <c r="I116" s="555"/>
      <c r="J116" s="555"/>
      <c r="K116" s="555"/>
      <c r="L116" s="555"/>
      <c r="M116" s="555"/>
      <c r="N116" s="555"/>
      <c r="O116" s="555"/>
      <c r="P116" s="555"/>
      <c r="Q116" s="555"/>
      <c r="R116" s="555"/>
      <c r="S116" s="555"/>
      <c r="T116" s="555"/>
      <c r="U116" s="555"/>
      <c r="V116" s="555"/>
    </row>
    <row r="117" spans="1:22" ht="15">
      <c r="A117" s="555"/>
      <c r="B117" s="555"/>
      <c r="C117" s="555"/>
      <c r="D117" s="555"/>
      <c r="E117" s="555"/>
      <c r="F117" s="555"/>
      <c r="G117" s="555"/>
      <c r="H117" s="555"/>
      <c r="I117" s="555"/>
      <c r="J117" s="555"/>
      <c r="K117" s="555"/>
      <c r="L117" s="555"/>
      <c r="M117" s="555"/>
      <c r="N117" s="555"/>
      <c r="O117" s="555"/>
      <c r="P117" s="555"/>
      <c r="Q117" s="555"/>
      <c r="R117" s="555"/>
      <c r="S117" s="555"/>
      <c r="T117" s="555"/>
      <c r="U117" s="555"/>
      <c r="V117" s="555"/>
    </row>
    <row r="118" spans="1:22" ht="15">
      <c r="A118" s="555"/>
      <c r="B118" s="555"/>
      <c r="C118" s="555"/>
      <c r="D118" s="555"/>
      <c r="E118" s="555"/>
      <c r="F118" s="555"/>
      <c r="G118" s="555"/>
      <c r="H118" s="555"/>
      <c r="I118" s="555"/>
      <c r="J118" s="555"/>
      <c r="K118" s="555"/>
      <c r="L118" s="555"/>
      <c r="M118" s="555"/>
      <c r="N118" s="555"/>
      <c r="O118" s="555"/>
      <c r="P118" s="555"/>
      <c r="Q118" s="555"/>
      <c r="R118" s="555"/>
      <c r="S118" s="555"/>
      <c r="T118" s="555"/>
      <c r="U118" s="555"/>
      <c r="V118" s="555"/>
    </row>
    <row r="119" spans="1:22" ht="15">
      <c r="A119" s="555"/>
      <c r="B119" s="555"/>
      <c r="C119" s="555"/>
      <c r="D119" s="555"/>
      <c r="E119" s="555"/>
      <c r="F119" s="555"/>
      <c r="G119" s="555"/>
      <c r="H119" s="555"/>
      <c r="I119" s="555"/>
      <c r="J119" s="555"/>
      <c r="K119" s="555"/>
      <c r="L119" s="555"/>
      <c r="M119" s="555"/>
      <c r="N119" s="555"/>
      <c r="O119" s="555"/>
      <c r="P119" s="555"/>
      <c r="Q119" s="555"/>
      <c r="R119" s="555"/>
      <c r="S119" s="555"/>
      <c r="T119" s="555"/>
      <c r="U119" s="555"/>
      <c r="V119" s="555"/>
    </row>
    <row r="120" spans="1:22" ht="15">
      <c r="A120" s="555"/>
      <c r="B120" s="555"/>
      <c r="C120" s="555"/>
      <c r="D120" s="555"/>
      <c r="E120" s="555"/>
      <c r="F120" s="555"/>
      <c r="G120" s="555"/>
      <c r="H120" s="555"/>
      <c r="I120" s="555"/>
      <c r="J120" s="555"/>
      <c r="K120" s="555"/>
      <c r="L120" s="555"/>
      <c r="M120" s="555"/>
      <c r="N120" s="555"/>
      <c r="O120" s="555"/>
      <c r="P120" s="555"/>
      <c r="Q120" s="555"/>
      <c r="R120" s="555"/>
      <c r="S120" s="555"/>
      <c r="T120" s="555"/>
      <c r="U120" s="555"/>
      <c r="V120" s="555"/>
    </row>
    <row r="121" spans="1:22" ht="15">
      <c r="A121" s="555"/>
      <c r="B121" s="555"/>
      <c r="C121" s="555"/>
      <c r="D121" s="555"/>
      <c r="E121" s="555"/>
      <c r="F121" s="555"/>
      <c r="G121" s="555"/>
      <c r="H121" s="555"/>
      <c r="I121" s="555"/>
      <c r="J121" s="555"/>
      <c r="K121" s="555"/>
      <c r="L121" s="555"/>
      <c r="M121" s="555"/>
      <c r="N121" s="555"/>
      <c r="O121" s="555"/>
      <c r="P121" s="555"/>
      <c r="Q121" s="555"/>
      <c r="R121" s="555"/>
      <c r="S121" s="555"/>
      <c r="T121" s="555"/>
      <c r="U121" s="555"/>
      <c r="V121" s="555"/>
    </row>
    <row r="122" spans="1:22" ht="15">
      <c r="A122" s="555"/>
      <c r="B122" s="555"/>
      <c r="C122" s="555"/>
      <c r="D122" s="555"/>
      <c r="E122" s="555"/>
      <c r="F122" s="555"/>
      <c r="G122" s="555"/>
      <c r="H122" s="555"/>
      <c r="I122" s="555"/>
      <c r="J122" s="555"/>
      <c r="K122" s="555"/>
      <c r="L122" s="555"/>
      <c r="M122" s="555"/>
      <c r="N122" s="555"/>
      <c r="O122" s="555"/>
      <c r="P122" s="555"/>
      <c r="Q122" s="555"/>
      <c r="R122" s="555"/>
      <c r="S122" s="555"/>
      <c r="T122" s="555"/>
      <c r="U122" s="555"/>
      <c r="V122" s="555"/>
    </row>
    <row r="123" spans="1:22" ht="15">
      <c r="A123" s="555"/>
      <c r="B123" s="555"/>
      <c r="C123" s="555"/>
      <c r="D123" s="555"/>
      <c r="E123" s="555"/>
      <c r="F123" s="555"/>
      <c r="G123" s="555"/>
      <c r="H123" s="555"/>
      <c r="I123" s="555"/>
      <c r="J123" s="555"/>
      <c r="K123" s="555"/>
      <c r="L123" s="555"/>
      <c r="M123" s="555"/>
      <c r="N123" s="555"/>
      <c r="O123" s="555"/>
      <c r="P123" s="555"/>
      <c r="Q123" s="555"/>
      <c r="R123" s="555"/>
      <c r="S123" s="555"/>
      <c r="T123" s="555"/>
      <c r="U123" s="555"/>
      <c r="V123" s="555"/>
    </row>
    <row r="124" spans="1:22" ht="15">
      <c r="A124" s="555"/>
      <c r="B124" s="555"/>
      <c r="C124" s="555"/>
      <c r="D124" s="555"/>
      <c r="E124" s="555"/>
      <c r="F124" s="555"/>
      <c r="G124" s="555"/>
      <c r="H124" s="555"/>
      <c r="I124" s="555"/>
      <c r="J124" s="555"/>
      <c r="K124" s="555"/>
      <c r="L124" s="555"/>
      <c r="M124" s="555"/>
      <c r="N124" s="555"/>
      <c r="O124" s="555"/>
      <c r="P124" s="555"/>
      <c r="Q124" s="555"/>
      <c r="R124" s="555"/>
      <c r="S124" s="555"/>
      <c r="T124" s="555"/>
      <c r="U124" s="555"/>
      <c r="V124" s="555"/>
    </row>
    <row r="125" spans="1:22" ht="15">
      <c r="A125" s="555"/>
      <c r="B125" s="555"/>
      <c r="C125" s="555"/>
      <c r="D125" s="555"/>
      <c r="E125" s="555"/>
      <c r="F125" s="555"/>
      <c r="G125" s="555"/>
      <c r="H125" s="555"/>
      <c r="I125" s="555"/>
      <c r="J125" s="555"/>
      <c r="K125" s="555"/>
      <c r="L125" s="555"/>
      <c r="M125" s="555"/>
      <c r="N125" s="555"/>
      <c r="O125" s="555"/>
      <c r="P125" s="555"/>
      <c r="Q125" s="555"/>
      <c r="R125" s="555"/>
      <c r="S125" s="555"/>
      <c r="T125" s="555"/>
      <c r="U125" s="555"/>
      <c r="V125" s="555"/>
    </row>
    <row r="126" spans="1:22" ht="15">
      <c r="A126" s="555"/>
      <c r="B126" s="555"/>
      <c r="C126" s="555"/>
      <c r="D126" s="555"/>
      <c r="E126" s="555"/>
      <c r="F126" s="555"/>
      <c r="G126" s="555"/>
      <c r="H126" s="555"/>
      <c r="I126" s="555"/>
      <c r="J126" s="555"/>
      <c r="K126" s="555"/>
      <c r="L126" s="555"/>
      <c r="M126" s="555"/>
      <c r="N126" s="555"/>
      <c r="O126" s="555"/>
      <c r="P126" s="555"/>
      <c r="Q126" s="555"/>
      <c r="R126" s="555"/>
      <c r="S126" s="555"/>
      <c r="T126" s="555"/>
      <c r="U126" s="555"/>
      <c r="V126" s="555"/>
    </row>
    <row r="127" spans="1:22" ht="15">
      <c r="A127" s="555"/>
      <c r="B127" s="555"/>
      <c r="C127" s="555"/>
      <c r="D127" s="555"/>
      <c r="E127" s="555"/>
      <c r="F127" s="555"/>
      <c r="G127" s="555"/>
      <c r="H127" s="555"/>
      <c r="I127" s="555"/>
      <c r="J127" s="555"/>
      <c r="K127" s="555"/>
      <c r="L127" s="555"/>
      <c r="M127" s="555"/>
      <c r="N127" s="555"/>
      <c r="O127" s="555"/>
      <c r="P127" s="555"/>
      <c r="Q127" s="555"/>
      <c r="R127" s="555"/>
      <c r="S127" s="555"/>
      <c r="T127" s="555"/>
      <c r="U127" s="555"/>
      <c r="V127" s="555"/>
    </row>
    <row r="128" spans="1:22" ht="15">
      <c r="A128" s="555"/>
      <c r="B128" s="555"/>
      <c r="C128" s="555"/>
      <c r="D128" s="555"/>
      <c r="E128" s="555"/>
      <c r="F128" s="555"/>
      <c r="G128" s="555"/>
      <c r="H128" s="555"/>
      <c r="I128" s="555"/>
      <c r="J128" s="555"/>
      <c r="K128" s="555"/>
      <c r="L128" s="555"/>
      <c r="M128" s="555"/>
      <c r="N128" s="555"/>
      <c r="O128" s="555"/>
      <c r="P128" s="555"/>
      <c r="Q128" s="555"/>
      <c r="R128" s="555"/>
      <c r="S128" s="555"/>
      <c r="T128" s="555"/>
      <c r="U128" s="555"/>
      <c r="V128" s="555"/>
    </row>
    <row r="129" spans="1:22" ht="15">
      <c r="A129" s="555"/>
      <c r="B129" s="555"/>
      <c r="C129" s="555"/>
      <c r="D129" s="555"/>
      <c r="E129" s="555"/>
      <c r="F129" s="555"/>
      <c r="G129" s="555"/>
      <c r="H129" s="555"/>
      <c r="I129" s="555"/>
      <c r="J129" s="555"/>
      <c r="K129" s="555"/>
      <c r="L129" s="555"/>
      <c r="M129" s="555"/>
      <c r="N129" s="555"/>
      <c r="O129" s="555"/>
      <c r="P129" s="555"/>
      <c r="Q129" s="555"/>
      <c r="R129" s="555"/>
      <c r="S129" s="555"/>
      <c r="T129" s="555"/>
      <c r="U129" s="555"/>
      <c r="V129" s="555"/>
    </row>
    <row r="130" spans="1:22" ht="15">
      <c r="A130" s="555"/>
      <c r="B130" s="555"/>
      <c r="C130" s="555"/>
      <c r="D130" s="555"/>
      <c r="E130" s="555"/>
      <c r="F130" s="555"/>
      <c r="G130" s="555"/>
      <c r="H130" s="555"/>
      <c r="I130" s="555"/>
      <c r="J130" s="555"/>
      <c r="K130" s="555"/>
      <c r="L130" s="555"/>
      <c r="M130" s="555"/>
      <c r="N130" s="555"/>
      <c r="O130" s="555"/>
      <c r="P130" s="555"/>
      <c r="Q130" s="555"/>
      <c r="R130" s="555"/>
      <c r="S130" s="555"/>
      <c r="T130" s="555"/>
      <c r="U130" s="555"/>
      <c r="V130" s="555"/>
    </row>
    <row r="131" spans="1:22" ht="15">
      <c r="A131" s="555"/>
      <c r="B131" s="555"/>
      <c r="C131" s="555"/>
      <c r="D131" s="555"/>
      <c r="E131" s="555"/>
      <c r="F131" s="555"/>
      <c r="G131" s="555"/>
      <c r="H131" s="555"/>
      <c r="I131" s="555"/>
      <c r="J131" s="555"/>
      <c r="K131" s="555"/>
      <c r="L131" s="555"/>
      <c r="M131" s="555"/>
      <c r="N131" s="555"/>
      <c r="O131" s="555"/>
      <c r="P131" s="555"/>
      <c r="Q131" s="555"/>
      <c r="R131" s="555"/>
      <c r="S131" s="555"/>
      <c r="T131" s="555"/>
      <c r="U131" s="555"/>
      <c r="V131" s="555"/>
    </row>
    <row r="132" spans="1:22" ht="15">
      <c r="A132" s="555"/>
      <c r="B132" s="555"/>
      <c r="C132" s="555"/>
      <c r="D132" s="555"/>
      <c r="E132" s="555"/>
      <c r="F132" s="555"/>
      <c r="G132" s="555"/>
      <c r="H132" s="555"/>
      <c r="I132" s="555"/>
      <c r="J132" s="555"/>
      <c r="K132" s="555"/>
      <c r="L132" s="555"/>
      <c r="M132" s="555"/>
      <c r="N132" s="555"/>
      <c r="O132" s="555"/>
      <c r="P132" s="555"/>
      <c r="Q132" s="555"/>
      <c r="R132" s="555"/>
      <c r="S132" s="555"/>
      <c r="T132" s="555"/>
      <c r="U132" s="555"/>
      <c r="V132" s="555"/>
    </row>
    <row r="133" spans="1:22" ht="15">
      <c r="A133" s="555"/>
      <c r="B133" s="555"/>
      <c r="C133" s="555"/>
      <c r="D133" s="555"/>
      <c r="E133" s="555"/>
      <c r="F133" s="555"/>
      <c r="G133" s="555"/>
      <c r="H133" s="555"/>
      <c r="I133" s="555"/>
      <c r="J133" s="555"/>
      <c r="K133" s="555"/>
      <c r="L133" s="555"/>
      <c r="M133" s="555"/>
      <c r="N133" s="555"/>
      <c r="O133" s="555"/>
      <c r="P133" s="555"/>
      <c r="Q133" s="555"/>
      <c r="R133" s="555"/>
      <c r="S133" s="555"/>
      <c r="T133" s="555"/>
      <c r="U133" s="555"/>
      <c r="V133" s="555"/>
    </row>
    <row r="134" spans="1:22" ht="15">
      <c r="A134" s="555"/>
      <c r="B134" s="555"/>
      <c r="C134" s="555"/>
      <c r="D134" s="555"/>
      <c r="E134" s="555"/>
      <c r="F134" s="555"/>
      <c r="G134" s="555"/>
      <c r="H134" s="555"/>
      <c r="I134" s="555"/>
      <c r="J134" s="555"/>
      <c r="K134" s="555"/>
      <c r="L134" s="555"/>
      <c r="M134" s="555"/>
      <c r="N134" s="555"/>
      <c r="O134" s="555"/>
      <c r="P134" s="555"/>
      <c r="Q134" s="555"/>
      <c r="R134" s="555"/>
      <c r="S134" s="555"/>
      <c r="T134" s="555"/>
      <c r="U134" s="555"/>
      <c r="V134" s="555"/>
    </row>
    <row r="135" spans="1:22" ht="15">
      <c r="A135" s="555"/>
      <c r="B135" s="555"/>
      <c r="C135" s="555"/>
      <c r="D135" s="555"/>
      <c r="E135" s="555"/>
      <c r="F135" s="555"/>
      <c r="G135" s="555"/>
      <c r="H135" s="555"/>
      <c r="I135" s="555"/>
      <c r="J135" s="555"/>
      <c r="K135" s="555"/>
      <c r="L135" s="555"/>
      <c r="M135" s="555"/>
      <c r="N135" s="555"/>
      <c r="O135" s="555"/>
      <c r="P135" s="555"/>
      <c r="Q135" s="555"/>
      <c r="R135" s="555"/>
      <c r="S135" s="555"/>
      <c r="T135" s="555"/>
      <c r="U135" s="555"/>
      <c r="V135" s="555"/>
    </row>
    <row r="136" spans="1:22" ht="12.75" customHeight="1">
      <c r="A136" s="555"/>
      <c r="B136" s="555"/>
      <c r="C136" s="555"/>
      <c r="D136" s="555"/>
      <c r="E136" s="555"/>
      <c r="F136" s="555"/>
      <c r="G136" s="555"/>
      <c r="H136" s="555"/>
      <c r="I136" s="555"/>
      <c r="J136" s="555"/>
      <c r="K136" s="555"/>
      <c r="L136" s="555"/>
      <c r="M136" s="555"/>
      <c r="N136" s="555"/>
      <c r="O136" s="555"/>
      <c r="P136" s="555"/>
      <c r="Q136" s="555"/>
      <c r="R136" s="555"/>
      <c r="S136" s="555"/>
      <c r="T136" s="555"/>
      <c r="U136" s="555"/>
      <c r="V136" s="555"/>
    </row>
    <row r="137" spans="1:22" ht="12.75" customHeight="1">
      <c r="A137" s="555"/>
      <c r="B137" s="555"/>
      <c r="C137" s="555"/>
      <c r="D137" s="555"/>
      <c r="E137" s="555"/>
      <c r="F137" s="555"/>
      <c r="G137" s="555"/>
      <c r="H137" s="555"/>
      <c r="I137" s="555"/>
      <c r="J137" s="555"/>
      <c r="K137" s="555"/>
      <c r="L137" s="555"/>
      <c r="M137" s="555"/>
      <c r="N137" s="555"/>
      <c r="O137" s="555"/>
      <c r="P137" s="555"/>
      <c r="Q137" s="555"/>
      <c r="R137" s="555"/>
      <c r="S137" s="555"/>
      <c r="T137" s="555"/>
      <c r="U137" s="555"/>
      <c r="V137" s="555"/>
    </row>
    <row r="138" spans="1:22" ht="12.75" customHeight="1">
      <c r="A138" s="555"/>
      <c r="B138" s="555"/>
      <c r="C138" s="555"/>
      <c r="D138" s="555"/>
      <c r="E138" s="555"/>
      <c r="F138" s="555"/>
      <c r="G138" s="555"/>
      <c r="H138" s="555"/>
      <c r="I138" s="555"/>
      <c r="J138" s="555"/>
      <c r="K138" s="555"/>
      <c r="L138" s="555"/>
      <c r="M138" s="555"/>
      <c r="N138" s="555"/>
      <c r="O138" s="555"/>
      <c r="P138" s="555"/>
      <c r="Q138" s="555"/>
      <c r="R138" s="555"/>
      <c r="S138" s="555"/>
      <c r="T138" s="555"/>
      <c r="U138" s="555"/>
      <c r="V138" s="555"/>
    </row>
    <row r="139" spans="1:22" ht="15">
      <c r="A139" s="555"/>
      <c r="B139" s="555"/>
      <c r="C139" s="555"/>
      <c r="D139" s="555"/>
      <c r="E139" s="555"/>
      <c r="F139" s="555"/>
      <c r="G139" s="555"/>
      <c r="H139" s="555"/>
      <c r="I139" s="555"/>
      <c r="J139" s="555"/>
      <c r="K139" s="555"/>
      <c r="L139" s="555"/>
      <c r="M139" s="555"/>
      <c r="N139" s="555"/>
      <c r="O139" s="555"/>
      <c r="P139" s="555"/>
      <c r="Q139" s="555"/>
      <c r="R139" s="555"/>
      <c r="S139" s="555"/>
      <c r="T139" s="555"/>
      <c r="U139" s="555"/>
      <c r="V139" s="555"/>
    </row>
    <row r="140" spans="1:22" ht="15">
      <c r="A140" s="555"/>
      <c r="B140" s="555"/>
      <c r="C140" s="555"/>
      <c r="D140" s="555"/>
      <c r="E140" s="555"/>
      <c r="F140" s="555"/>
      <c r="G140" s="555"/>
      <c r="H140" s="555"/>
      <c r="I140" s="555"/>
      <c r="J140" s="555"/>
      <c r="K140" s="555"/>
      <c r="L140" s="555"/>
      <c r="M140" s="555"/>
      <c r="N140" s="555"/>
      <c r="O140" s="555"/>
      <c r="P140" s="555"/>
      <c r="Q140" s="555"/>
      <c r="R140" s="555"/>
      <c r="S140" s="555"/>
      <c r="T140" s="555"/>
      <c r="U140" s="555"/>
      <c r="V140" s="555"/>
    </row>
    <row r="141" spans="1:22" ht="15">
      <c r="A141" s="555"/>
      <c r="B141" s="555"/>
      <c r="C141" s="555"/>
      <c r="D141" s="555"/>
      <c r="E141" s="555"/>
      <c r="F141" s="555"/>
      <c r="G141" s="555"/>
      <c r="H141" s="555"/>
      <c r="I141" s="555"/>
      <c r="J141" s="555"/>
      <c r="K141" s="555"/>
      <c r="L141" s="555"/>
      <c r="M141" s="555"/>
      <c r="N141" s="555"/>
      <c r="O141" s="555"/>
      <c r="P141" s="555"/>
      <c r="Q141" s="555"/>
      <c r="R141" s="555"/>
      <c r="S141" s="555"/>
      <c r="T141" s="555"/>
      <c r="U141" s="555"/>
      <c r="V141" s="555"/>
    </row>
    <row r="142" spans="1:22" ht="15">
      <c r="A142" s="555"/>
      <c r="B142" s="555"/>
      <c r="C142" s="555"/>
      <c r="D142" s="555"/>
      <c r="E142" s="555"/>
      <c r="F142" s="555"/>
      <c r="G142" s="555"/>
      <c r="H142" s="555"/>
      <c r="I142" s="555"/>
      <c r="J142" s="555"/>
      <c r="K142" s="555"/>
      <c r="L142" s="555"/>
      <c r="M142" s="555"/>
      <c r="N142" s="555"/>
      <c r="O142" s="555"/>
      <c r="P142" s="555"/>
      <c r="Q142" s="555"/>
      <c r="R142" s="555"/>
      <c r="S142" s="555"/>
      <c r="T142" s="555"/>
      <c r="U142" s="555"/>
      <c r="V142" s="555"/>
    </row>
    <row r="143" spans="1:22" ht="15">
      <c r="A143" s="555"/>
      <c r="B143" s="555"/>
      <c r="C143" s="555"/>
      <c r="D143" s="555"/>
      <c r="E143" s="555"/>
      <c r="F143" s="555"/>
      <c r="G143" s="555"/>
      <c r="H143" s="555"/>
      <c r="I143" s="555"/>
      <c r="J143" s="555"/>
      <c r="K143" s="555"/>
      <c r="L143" s="555"/>
      <c r="M143" s="555"/>
      <c r="N143" s="555"/>
      <c r="O143" s="555"/>
      <c r="P143" s="555"/>
      <c r="Q143" s="555"/>
      <c r="R143" s="555"/>
      <c r="S143" s="555"/>
      <c r="T143" s="555"/>
      <c r="U143" s="555"/>
      <c r="V143" s="555"/>
    </row>
    <row r="144" spans="1:22" ht="15">
      <c r="A144" s="555"/>
      <c r="B144" s="555"/>
      <c r="C144" s="555"/>
      <c r="D144" s="555"/>
      <c r="E144" s="555"/>
      <c r="F144" s="555"/>
      <c r="G144" s="555"/>
      <c r="H144" s="555"/>
      <c r="I144" s="555"/>
      <c r="J144" s="555"/>
      <c r="K144" s="555"/>
      <c r="L144" s="555"/>
      <c r="M144" s="555"/>
      <c r="N144" s="555"/>
      <c r="O144" s="555"/>
      <c r="P144" s="555"/>
      <c r="Q144" s="555"/>
      <c r="R144" s="555"/>
      <c r="S144" s="555"/>
      <c r="T144" s="555"/>
      <c r="U144" s="555"/>
      <c r="V144" s="555"/>
    </row>
    <row r="145" spans="1:22" ht="15">
      <c r="A145" s="555"/>
      <c r="B145" s="555"/>
      <c r="C145" s="555"/>
      <c r="D145" s="555"/>
      <c r="E145" s="555"/>
      <c r="F145" s="555"/>
      <c r="G145" s="555"/>
      <c r="H145" s="555"/>
      <c r="I145" s="555"/>
      <c r="J145" s="555"/>
      <c r="K145" s="555"/>
      <c r="L145" s="555"/>
      <c r="M145" s="555"/>
      <c r="N145" s="555"/>
      <c r="O145" s="555"/>
      <c r="P145" s="555"/>
      <c r="Q145" s="555"/>
      <c r="R145" s="555"/>
      <c r="S145" s="555"/>
      <c r="T145" s="555"/>
      <c r="U145" s="555"/>
      <c r="V145" s="555"/>
    </row>
    <row r="146" spans="1:22" ht="15">
      <c r="A146" s="555"/>
      <c r="B146" s="555"/>
      <c r="C146" s="555"/>
      <c r="D146" s="555"/>
      <c r="E146" s="555"/>
      <c r="F146" s="555"/>
      <c r="G146" s="555"/>
      <c r="H146" s="555"/>
      <c r="I146" s="555"/>
      <c r="J146" s="555"/>
      <c r="K146" s="555"/>
      <c r="L146" s="555"/>
      <c r="M146" s="555"/>
      <c r="N146" s="555"/>
      <c r="O146" s="555"/>
      <c r="P146" s="555"/>
      <c r="Q146" s="555"/>
      <c r="R146" s="555"/>
      <c r="S146" s="555"/>
      <c r="T146" s="555"/>
      <c r="U146" s="555"/>
      <c r="V146" s="555"/>
    </row>
    <row r="147" spans="1:22" ht="15">
      <c r="A147" s="555"/>
      <c r="B147" s="555"/>
      <c r="C147" s="555"/>
      <c r="D147" s="555"/>
      <c r="E147" s="555"/>
      <c r="F147" s="555"/>
      <c r="G147" s="555"/>
      <c r="H147" s="555"/>
      <c r="I147" s="555"/>
      <c r="J147" s="555"/>
      <c r="K147" s="555"/>
      <c r="L147" s="555"/>
      <c r="M147" s="555"/>
      <c r="N147" s="555"/>
      <c r="O147" s="555"/>
      <c r="P147" s="555"/>
      <c r="Q147" s="555"/>
      <c r="R147" s="555"/>
      <c r="S147" s="555"/>
      <c r="T147" s="555"/>
      <c r="U147" s="555"/>
      <c r="V147" s="555"/>
    </row>
    <row r="148" spans="1:22" ht="15">
      <c r="A148" s="555"/>
      <c r="B148" s="555"/>
      <c r="C148" s="555"/>
      <c r="D148" s="555"/>
      <c r="E148" s="555"/>
      <c r="F148" s="555"/>
      <c r="G148" s="555"/>
      <c r="H148" s="555"/>
      <c r="I148" s="555"/>
      <c r="J148" s="555"/>
      <c r="K148" s="555"/>
      <c r="L148" s="555"/>
      <c r="M148" s="555"/>
      <c r="N148" s="555"/>
      <c r="O148" s="555"/>
      <c r="P148" s="555"/>
      <c r="Q148" s="555"/>
      <c r="R148" s="555"/>
      <c r="S148" s="555"/>
      <c r="T148" s="555"/>
      <c r="U148" s="555"/>
      <c r="V148" s="555"/>
    </row>
    <row r="149" spans="1:22" ht="15">
      <c r="A149" s="555"/>
      <c r="B149" s="555"/>
      <c r="C149" s="555"/>
      <c r="D149" s="555"/>
      <c r="E149" s="555"/>
      <c r="F149" s="555"/>
      <c r="G149" s="555"/>
      <c r="H149" s="555"/>
      <c r="I149" s="555"/>
      <c r="J149" s="555"/>
      <c r="K149" s="555"/>
      <c r="L149" s="555"/>
      <c r="M149" s="555"/>
      <c r="N149" s="555"/>
      <c r="O149" s="555"/>
      <c r="P149" s="555"/>
      <c r="Q149" s="555"/>
      <c r="R149" s="555"/>
      <c r="S149" s="555"/>
      <c r="T149" s="555"/>
      <c r="U149" s="555"/>
      <c r="V149" s="555"/>
    </row>
  </sheetData>
  <sheetProtection/>
  <mergeCells count="8">
    <mergeCell ref="B34:J35"/>
    <mergeCell ref="A1:K1"/>
    <mergeCell ref="A2:K2"/>
    <mergeCell ref="A3:K3"/>
    <mergeCell ref="A4:K4"/>
    <mergeCell ref="B27:G28"/>
    <mergeCell ref="A6:K6"/>
    <mergeCell ref="B9:H9"/>
  </mergeCells>
  <printOptions/>
  <pageMargins left="0.26" right="0.63" top="1" bottom="1" header="0.75" footer="0.5"/>
  <pageSetup fitToHeight="1" fitToWidth="1" horizontalDpi="600" verticalDpi="600" orientation="landscape" scale="84"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0" zoomScaleNormal="70" zoomScaleSheetLayoutView="85" zoomScalePageLayoutView="0" workbookViewId="0" topLeftCell="A22">
      <selection activeCell="F70" sqref="F70"/>
    </sheetView>
  </sheetViews>
  <sheetFormatPr defaultColWidth="9.140625" defaultRowHeight="12.75"/>
  <cols>
    <col min="1" max="1" width="10.421875" style="52"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spans="1:8" ht="15">
      <c r="A1" s="1480" t="s">
        <v>389</v>
      </c>
      <c r="B1" s="1480"/>
      <c r="C1" s="1480"/>
      <c r="D1" s="1480"/>
      <c r="E1" s="1480"/>
      <c r="F1" s="1480"/>
      <c r="G1" s="1480"/>
      <c r="H1" s="40"/>
    </row>
    <row r="2" spans="1:11" ht="17.25" customHeight="1">
      <c r="A2" s="1481" t="str">
        <f>"Cost of Service Formula Rate Using Actual/Projected FF1 Balances"</f>
        <v>Cost of Service Formula Rate Using Actual/Projected FF1 Balances</v>
      </c>
      <c r="B2" s="1481"/>
      <c r="C2" s="1481"/>
      <c r="D2" s="1481"/>
      <c r="E2" s="1481"/>
      <c r="F2" s="1481"/>
      <c r="G2" s="1481"/>
      <c r="H2" s="89"/>
      <c r="I2" s="89"/>
      <c r="J2" s="89"/>
      <c r="K2" s="89"/>
    </row>
    <row r="3" spans="1:7" ht="18" customHeight="1">
      <c r="A3" s="1481" t="s">
        <v>490</v>
      </c>
      <c r="B3" s="1481"/>
      <c r="C3" s="1481"/>
      <c r="D3" s="1481"/>
      <c r="E3" s="1481"/>
      <c r="F3" s="1481"/>
      <c r="G3" s="1481"/>
    </row>
    <row r="4" spans="1:7" ht="19.5" customHeight="1">
      <c r="A4" s="1492" t="str">
        <f>'I&amp;M TCOS'!F7</f>
        <v>INDIANA MICHIGAN POWER COMPANY</v>
      </c>
      <c r="B4" s="1492"/>
      <c r="C4" s="1492"/>
      <c r="D4" s="1492"/>
      <c r="E4" s="1492"/>
      <c r="F4" s="1492"/>
      <c r="G4" s="1492"/>
    </row>
    <row r="5" spans="1:7" ht="12.75" customHeight="1">
      <c r="A5" s="1480"/>
      <c r="B5" s="1480"/>
      <c r="C5" s="1480"/>
      <c r="D5" s="1480"/>
      <c r="E5" s="1480"/>
      <c r="F5" s="1480"/>
      <c r="G5" s="47"/>
    </row>
    <row r="6" spans="1:7" ht="18">
      <c r="A6" s="1507"/>
      <c r="B6" s="1507"/>
      <c r="C6" s="1507"/>
      <c r="D6" s="1507"/>
      <c r="E6" s="1507"/>
      <c r="F6" s="1507"/>
      <c r="G6" s="1507"/>
    </row>
    <row r="7" spans="1:7" ht="18">
      <c r="A7" s="161"/>
      <c r="B7" s="161"/>
      <c r="C7" s="161"/>
      <c r="D7" s="161"/>
      <c r="E7" s="161"/>
      <c r="F7" s="161"/>
      <c r="G7" s="161"/>
    </row>
    <row r="8" spans="2:7" ht="15.75">
      <c r="B8" s="37" t="s">
        <v>164</v>
      </c>
      <c r="C8" s="37" t="s">
        <v>165</v>
      </c>
      <c r="D8" s="37" t="s">
        <v>166</v>
      </c>
      <c r="E8" s="37" t="s">
        <v>167</v>
      </c>
      <c r="F8" s="37" t="s">
        <v>85</v>
      </c>
      <c r="G8" s="37" t="s">
        <v>86</v>
      </c>
    </row>
    <row r="9" spans="2:7" ht="15.75">
      <c r="B9" s="48"/>
      <c r="C9" s="47"/>
      <c r="D9" s="200"/>
      <c r="E9" s="201"/>
      <c r="F9" s="202" t="s">
        <v>88</v>
      </c>
      <c r="G9" s="37"/>
    </row>
    <row r="10" spans="1:7" ht="15.75">
      <c r="A10" s="50" t="s">
        <v>171</v>
      </c>
      <c r="B10" s="48"/>
      <c r="C10" s="53"/>
      <c r="D10" s="50">
        <f>+'I&amp;M TCOS'!L2</f>
        <v>2017</v>
      </c>
      <c r="E10" s="202" t="s">
        <v>88</v>
      </c>
      <c r="F10" s="50" t="s">
        <v>117</v>
      </c>
      <c r="G10" s="37"/>
    </row>
    <row r="11" spans="1:7" ht="15.75">
      <c r="A11" s="50" t="s">
        <v>107</v>
      </c>
      <c r="B11" s="50" t="s">
        <v>37</v>
      </c>
      <c r="C11" s="50" t="s">
        <v>169</v>
      </c>
      <c r="D11" s="50" t="s">
        <v>38</v>
      </c>
      <c r="E11" s="50" t="s">
        <v>90</v>
      </c>
      <c r="F11" s="50" t="s">
        <v>39</v>
      </c>
      <c r="G11" s="50" t="s">
        <v>40</v>
      </c>
    </row>
    <row r="12" spans="2:7" ht="15.75">
      <c r="B12" s="50"/>
      <c r="C12" s="50"/>
      <c r="D12" s="50"/>
      <c r="E12" s="50"/>
      <c r="F12" s="50"/>
      <c r="G12" s="50"/>
    </row>
    <row r="13" spans="2:7" ht="15.75">
      <c r="B13" s="50"/>
      <c r="C13" s="50"/>
      <c r="D13" s="50"/>
      <c r="E13" s="50"/>
      <c r="F13" s="50"/>
      <c r="G13" s="50"/>
    </row>
    <row r="14" spans="2:7" ht="15.75">
      <c r="B14" s="50"/>
      <c r="D14" s="50"/>
      <c r="E14" s="50"/>
      <c r="F14" s="50"/>
      <c r="G14" s="50"/>
    </row>
    <row r="15" spans="2:7" ht="15.75">
      <c r="B15" s="50"/>
      <c r="C15" s="50" t="s">
        <v>498</v>
      </c>
      <c r="D15" s="45"/>
      <c r="E15" s="45"/>
      <c r="F15" s="45"/>
      <c r="G15" s="82"/>
    </row>
    <row r="16" spans="1:7" ht="15">
      <c r="A16" s="52">
        <v>1</v>
      </c>
      <c r="B16" s="1362">
        <v>5660000</v>
      </c>
      <c r="C16" s="1360" t="s">
        <v>916</v>
      </c>
      <c r="D16" s="1361">
        <v>0</v>
      </c>
      <c r="E16" s="1233"/>
      <c r="F16" s="1233"/>
      <c r="G16" s="870"/>
    </row>
    <row r="17" spans="1:7" ht="15">
      <c r="A17" s="52">
        <v>2</v>
      </c>
      <c r="B17" s="1234"/>
      <c r="C17" s="1235"/>
      <c r="D17" s="845"/>
      <c r="E17" s="1233"/>
      <c r="F17" s="1233"/>
      <c r="G17" s="44"/>
    </row>
    <row r="18" spans="1:7" ht="15">
      <c r="A18" s="52">
        <v>3</v>
      </c>
      <c r="B18" s="844"/>
      <c r="C18" s="1228"/>
      <c r="D18" s="845"/>
      <c r="E18" s="1233"/>
      <c r="F18" s="1233"/>
      <c r="G18" s="44"/>
    </row>
    <row r="19" spans="1:7" ht="15.75">
      <c r="A19" s="52">
        <v>4</v>
      </c>
      <c r="B19" s="50"/>
      <c r="C19" s="235" t="s">
        <v>120</v>
      </c>
      <c r="D19" s="1222">
        <f>SUM(D16:D17)</f>
        <v>0</v>
      </c>
      <c r="E19" s="1233"/>
      <c r="F19" s="1233"/>
      <c r="G19" s="50"/>
    </row>
    <row r="20" spans="2:7" ht="15.75">
      <c r="B20" s="50"/>
      <c r="C20" s="235"/>
      <c r="D20" s="1232"/>
      <c r="E20" s="1231"/>
      <c r="F20" s="1231"/>
      <c r="G20" s="50"/>
    </row>
    <row r="21" spans="1:7" ht="15.75">
      <c r="A21" s="1230"/>
      <c r="B21" s="50"/>
      <c r="C21" s="50" t="s">
        <v>50</v>
      </c>
      <c r="D21" s="1232"/>
      <c r="E21" s="1231"/>
      <c r="F21" s="1231"/>
      <c r="G21" s="50"/>
    </row>
    <row r="22" spans="1:7" ht="15.75">
      <c r="A22" s="52">
        <f>+A19+1</f>
        <v>5</v>
      </c>
      <c r="B22" s="1209"/>
      <c r="C22" s="1209"/>
      <c r="D22" s="1210"/>
      <c r="E22" s="1231"/>
      <c r="F22" s="1231"/>
      <c r="G22" s="50"/>
    </row>
    <row r="23" spans="1:7" ht="15.75">
      <c r="A23" s="52">
        <f>+A22+1</f>
        <v>6</v>
      </c>
      <c r="B23" s="1209" t="s">
        <v>51</v>
      </c>
      <c r="C23" s="1209" t="s">
        <v>52</v>
      </c>
      <c r="D23" s="1363">
        <v>5055</v>
      </c>
      <c r="E23" s="1231"/>
      <c r="F23" s="1231"/>
      <c r="G23" s="50"/>
    </row>
    <row r="24" spans="1:7" ht="15.75">
      <c r="A24" s="52">
        <f>+A23+1</f>
        <v>7</v>
      </c>
      <c r="B24" s="1209" t="s">
        <v>53</v>
      </c>
      <c r="C24" s="1209" t="s">
        <v>54</v>
      </c>
      <c r="D24" s="1363">
        <v>444496</v>
      </c>
      <c r="E24" s="1231"/>
      <c r="F24" s="1231"/>
      <c r="G24" s="50"/>
    </row>
    <row r="25" spans="1:7" ht="15.75">
      <c r="A25" s="52">
        <f aca="true" t="shared" si="0" ref="A25:A30">+A24+1</f>
        <v>8</v>
      </c>
      <c r="B25" s="1209" t="s">
        <v>55</v>
      </c>
      <c r="C25" s="1209" t="s">
        <v>56</v>
      </c>
      <c r="D25" s="1364">
        <v>0</v>
      </c>
      <c r="E25" s="1231"/>
      <c r="F25" s="1231"/>
      <c r="G25" s="50"/>
    </row>
    <row r="26" spans="1:7" ht="15.75">
      <c r="A26" s="52">
        <f t="shared" si="0"/>
        <v>9</v>
      </c>
      <c r="B26" s="1209" t="s">
        <v>57</v>
      </c>
      <c r="C26" s="1209" t="s">
        <v>58</v>
      </c>
      <c r="D26" s="1363">
        <v>4522359</v>
      </c>
      <c r="E26" s="1231"/>
      <c r="F26" s="1231"/>
      <c r="G26" s="50"/>
    </row>
    <row r="27" spans="1:7" ht="15.75">
      <c r="A27" s="52">
        <f t="shared" si="0"/>
        <v>10</v>
      </c>
      <c r="B27" s="1209" t="s">
        <v>59</v>
      </c>
      <c r="C27" s="1209" t="s">
        <v>60</v>
      </c>
      <c r="D27" s="1363">
        <v>119595</v>
      </c>
      <c r="E27" s="1231"/>
      <c r="F27" s="1231"/>
      <c r="G27" s="50"/>
    </row>
    <row r="28" spans="1:7" ht="15.75">
      <c r="A28" s="52">
        <f t="shared" si="0"/>
        <v>11</v>
      </c>
      <c r="B28" s="1209" t="s">
        <v>61</v>
      </c>
      <c r="C28" s="1209" t="s">
        <v>62</v>
      </c>
      <c r="D28" s="1363">
        <v>9</v>
      </c>
      <c r="E28" s="1231"/>
      <c r="F28" s="1231"/>
      <c r="G28" s="50"/>
    </row>
    <row r="29" spans="1:7" ht="15.75">
      <c r="A29" s="52">
        <f t="shared" si="0"/>
        <v>12</v>
      </c>
      <c r="B29" s="1209" t="s">
        <v>63</v>
      </c>
      <c r="C29" s="1209" t="s">
        <v>64</v>
      </c>
      <c r="D29" s="1363">
        <v>0</v>
      </c>
      <c r="E29" s="1231"/>
      <c r="F29" s="1231"/>
      <c r="G29" s="50"/>
    </row>
    <row r="30" spans="1:7" ht="15.75">
      <c r="A30" s="52">
        <f t="shared" si="0"/>
        <v>13</v>
      </c>
      <c r="B30" s="1209" t="s">
        <v>65</v>
      </c>
      <c r="C30" s="1209" t="s">
        <v>66</v>
      </c>
      <c r="D30" s="1211">
        <f>277799+1136872</f>
        <v>1414671</v>
      </c>
      <c r="E30" s="1231"/>
      <c r="F30" s="1231"/>
      <c r="G30" s="50"/>
    </row>
    <row r="31" spans="1:7" ht="15.75">
      <c r="A31" s="52">
        <f>+A30+1</f>
        <v>14</v>
      </c>
      <c r="B31" s="1212"/>
      <c r="C31" s="37" t="s">
        <v>67</v>
      </c>
      <c r="D31" s="1213">
        <f>SUM(D22:D30)</f>
        <v>6506185</v>
      </c>
      <c r="E31" s="1231"/>
      <c r="F31" s="1231"/>
      <c r="G31" s="50"/>
    </row>
    <row r="32" spans="1:7" ht="15.75">
      <c r="A32" s="231"/>
      <c r="B32" s="1220"/>
      <c r="C32" s="50"/>
      <c r="D32" s="50"/>
      <c r="E32" s="50"/>
      <c r="F32" s="50"/>
      <c r="G32" s="50"/>
    </row>
    <row r="33" spans="1:7" ht="15.75">
      <c r="A33" s="231"/>
      <c r="B33" s="52"/>
      <c r="C33" s="1221" t="s">
        <v>214</v>
      </c>
      <c r="D33" s="33"/>
      <c r="E33" s="33"/>
      <c r="F33" s="33"/>
      <c r="G33" s="47"/>
    </row>
    <row r="34" spans="1:7" ht="15">
      <c r="A34" s="52">
        <f>+A31+1</f>
        <v>15</v>
      </c>
      <c r="B34" s="1367" t="s">
        <v>830</v>
      </c>
      <c r="C34" s="1365" t="s">
        <v>831</v>
      </c>
      <c r="D34" s="1366">
        <v>2894</v>
      </c>
      <c r="E34" s="1231">
        <f>D34</f>
        <v>2894</v>
      </c>
      <c r="F34" s="1231">
        <v>0</v>
      </c>
      <c r="G34" s="44" t="s">
        <v>116</v>
      </c>
    </row>
    <row r="35" spans="1:7" ht="15">
      <c r="A35" s="52">
        <f>+A34+1</f>
        <v>16</v>
      </c>
      <c r="B35" s="1367" t="s">
        <v>832</v>
      </c>
      <c r="C35" s="1365" t="s">
        <v>833</v>
      </c>
      <c r="D35" s="1366">
        <v>10872498</v>
      </c>
      <c r="E35" s="1231">
        <f>D35</f>
        <v>10872498</v>
      </c>
      <c r="F35" s="1231">
        <v>0</v>
      </c>
      <c r="G35" s="44" t="s">
        <v>116</v>
      </c>
    </row>
    <row r="36" spans="1:7" ht="15">
      <c r="A36" s="52">
        <f>+A35+1</f>
        <v>17</v>
      </c>
      <c r="B36" s="1367" t="s">
        <v>834</v>
      </c>
      <c r="C36" s="1365" t="s">
        <v>835</v>
      </c>
      <c r="D36" s="1366">
        <v>2834378</v>
      </c>
      <c r="E36" s="1231">
        <f>D36</f>
        <v>2834378</v>
      </c>
      <c r="F36" s="1231">
        <v>0</v>
      </c>
      <c r="G36" s="44" t="s">
        <v>116</v>
      </c>
    </row>
    <row r="37" spans="1:7" ht="15">
      <c r="A37" s="52">
        <f>+A36+1</f>
        <v>18</v>
      </c>
      <c r="B37" s="1367">
        <v>9280005</v>
      </c>
      <c r="C37" s="1365" t="s">
        <v>917</v>
      </c>
      <c r="D37" s="1366">
        <v>53289</v>
      </c>
      <c r="E37" s="1231">
        <v>0</v>
      </c>
      <c r="F37" s="1231">
        <f>D37</f>
        <v>53289</v>
      </c>
      <c r="G37" s="44" t="s">
        <v>116</v>
      </c>
    </row>
    <row r="38" spans="1:7" ht="12.75" customHeight="1">
      <c r="A38" s="52">
        <f>+A37+1</f>
        <v>19</v>
      </c>
      <c r="B38" s="1234"/>
      <c r="C38" s="1235"/>
      <c r="D38" s="1236"/>
      <c r="E38" s="1231"/>
      <c r="F38" s="1231">
        <f>D38</f>
        <v>0</v>
      </c>
      <c r="G38" s="47"/>
    </row>
    <row r="39" spans="1:7" ht="15.75" customHeight="1">
      <c r="A39" s="52">
        <f>+A38+1</f>
        <v>20</v>
      </c>
      <c r="B39" s="1214"/>
      <c r="C39" s="1126" t="s">
        <v>615</v>
      </c>
      <c r="D39" s="55">
        <f>SUM(D34:D38)</f>
        <v>13763059</v>
      </c>
      <c r="E39" s="55">
        <f>SUM(E34:E38)</f>
        <v>13709770</v>
      </c>
      <c r="F39" s="55">
        <f>SUM(F34:F38)</f>
        <v>53289</v>
      </c>
      <c r="G39" s="30"/>
    </row>
    <row r="40" spans="2:7" ht="12.75" customHeight="1">
      <c r="B40" s="1214"/>
      <c r="C40" s="49"/>
      <c r="D40" s="59"/>
      <c r="E40" s="33"/>
      <c r="F40" s="33"/>
      <c r="G40" s="47"/>
    </row>
    <row r="41" spans="2:7" ht="15.75">
      <c r="B41" s="52"/>
      <c r="C41" s="1221" t="s">
        <v>213</v>
      </c>
      <c r="D41" s="33"/>
      <c r="E41" s="33"/>
      <c r="F41" s="33"/>
      <c r="G41" s="47"/>
    </row>
    <row r="42" spans="1:19" ht="15">
      <c r="A42" s="52">
        <f>+A39+1</f>
        <v>21</v>
      </c>
      <c r="B42" s="1370" t="s">
        <v>836</v>
      </c>
      <c r="C42" s="1368" t="s">
        <v>837</v>
      </c>
      <c r="D42" s="1369">
        <v>306926</v>
      </c>
      <c r="E42" s="1231">
        <f>+D42</f>
        <v>306926</v>
      </c>
      <c r="F42" s="1231">
        <v>0</v>
      </c>
      <c r="G42"/>
      <c r="M42" s="29"/>
      <c r="N42" s="57"/>
      <c r="O42" s="58"/>
      <c r="P42" s="58"/>
      <c r="Q42" s="58"/>
      <c r="R42" s="58"/>
      <c r="S42" s="31"/>
    </row>
    <row r="43" spans="1:19" ht="15">
      <c r="A43" s="52">
        <f>+A42+1</f>
        <v>22</v>
      </c>
      <c r="B43" s="1370" t="s">
        <v>838</v>
      </c>
      <c r="C43" s="1368" t="s">
        <v>839</v>
      </c>
      <c r="D43" s="1369">
        <v>10934</v>
      </c>
      <c r="E43" s="1231">
        <f aca="true" t="shared" si="1" ref="E43:E57">+D43</f>
        <v>10934</v>
      </c>
      <c r="F43" s="1231">
        <v>0</v>
      </c>
      <c r="G43"/>
      <c r="M43" s="29"/>
      <c r="N43" s="57"/>
      <c r="O43" s="58"/>
      <c r="P43" s="58"/>
      <c r="Q43" s="58"/>
      <c r="R43" s="58"/>
      <c r="S43" s="31"/>
    </row>
    <row r="44" spans="1:19" ht="15">
      <c r="A44" s="52">
        <f aca="true" t="shared" si="2" ref="A44:A57">+A43+1</f>
        <v>23</v>
      </c>
      <c r="B44" s="1370" t="s">
        <v>840</v>
      </c>
      <c r="C44" s="1368" t="s">
        <v>841</v>
      </c>
      <c r="D44" s="1369">
        <v>0</v>
      </c>
      <c r="E44" s="1231">
        <f t="shared" si="1"/>
        <v>0</v>
      </c>
      <c r="F44" s="1231">
        <v>0</v>
      </c>
      <c r="G44"/>
      <c r="M44" s="29"/>
      <c r="N44" s="57"/>
      <c r="O44" s="58"/>
      <c r="P44" s="58"/>
      <c r="Q44" s="58"/>
      <c r="R44" s="58"/>
      <c r="S44" s="31"/>
    </row>
    <row r="45" spans="1:19" ht="15">
      <c r="A45" s="52">
        <f t="shared" si="2"/>
        <v>24</v>
      </c>
      <c r="B45" s="1370" t="s">
        <v>842</v>
      </c>
      <c r="C45" s="1368" t="s">
        <v>843</v>
      </c>
      <c r="D45" s="1369">
        <v>5344</v>
      </c>
      <c r="E45" s="1231">
        <f t="shared" si="1"/>
        <v>5344</v>
      </c>
      <c r="F45" s="1231">
        <v>0</v>
      </c>
      <c r="G45"/>
      <c r="M45" s="29"/>
      <c r="N45" s="57"/>
      <c r="O45" s="58"/>
      <c r="P45" s="58"/>
      <c r="Q45" s="58"/>
      <c r="R45" s="58"/>
      <c r="S45" s="31"/>
    </row>
    <row r="46" spans="1:19" ht="15">
      <c r="A46" s="52">
        <f>+A45+1</f>
        <v>25</v>
      </c>
      <c r="B46" s="1370" t="s">
        <v>844</v>
      </c>
      <c r="C46" s="1368" t="s">
        <v>845</v>
      </c>
      <c r="D46" s="1369">
        <v>353</v>
      </c>
      <c r="E46" s="1231">
        <f t="shared" si="1"/>
        <v>353</v>
      </c>
      <c r="F46" s="1231">
        <v>0</v>
      </c>
      <c r="G46"/>
      <c r="M46" s="29"/>
      <c r="N46" s="57"/>
      <c r="O46" s="58"/>
      <c r="P46" s="58"/>
      <c r="Q46" s="58"/>
      <c r="R46" s="58"/>
      <c r="S46" s="31"/>
    </row>
    <row r="47" spans="1:19" ht="15">
      <c r="A47" s="52">
        <f t="shared" si="2"/>
        <v>26</v>
      </c>
      <c r="B47" s="1370" t="s">
        <v>846</v>
      </c>
      <c r="C47" s="1368" t="s">
        <v>847</v>
      </c>
      <c r="D47" s="1369">
        <v>0</v>
      </c>
      <c r="E47" s="1231">
        <f t="shared" si="1"/>
        <v>0</v>
      </c>
      <c r="F47" s="1231">
        <v>0</v>
      </c>
      <c r="G47"/>
      <c r="M47" s="29"/>
      <c r="N47" s="57"/>
      <c r="O47" s="58"/>
      <c r="P47" s="58"/>
      <c r="Q47" s="58"/>
      <c r="R47" s="58"/>
      <c r="S47" s="31"/>
    </row>
    <row r="48" spans="1:19" ht="15">
      <c r="A48" s="52">
        <f t="shared" si="2"/>
        <v>27</v>
      </c>
      <c r="B48" s="1370" t="s">
        <v>848</v>
      </c>
      <c r="C48" s="1368" t="s">
        <v>849</v>
      </c>
      <c r="D48" s="1369" t="s">
        <v>116</v>
      </c>
      <c r="E48" s="1231" t="str">
        <f t="shared" si="1"/>
        <v> </v>
      </c>
      <c r="F48" s="1231">
        <v>0</v>
      </c>
      <c r="G48"/>
      <c r="M48" s="29"/>
      <c r="N48" s="57"/>
      <c r="O48" s="58"/>
      <c r="P48" s="58"/>
      <c r="Q48" s="58"/>
      <c r="R48" s="58"/>
      <c r="S48" s="31"/>
    </row>
    <row r="49" spans="1:19" ht="15">
      <c r="A49" s="52">
        <f t="shared" si="2"/>
        <v>28</v>
      </c>
      <c r="B49" s="1370" t="s">
        <v>850</v>
      </c>
      <c r="C49" s="1368" t="s">
        <v>851</v>
      </c>
      <c r="D49" s="1369">
        <v>0</v>
      </c>
      <c r="E49" s="1231">
        <f t="shared" si="1"/>
        <v>0</v>
      </c>
      <c r="F49" s="1231">
        <v>0</v>
      </c>
      <c r="G49"/>
      <c r="M49" s="29"/>
      <c r="N49" s="57"/>
      <c r="O49" s="58"/>
      <c r="P49" s="58"/>
      <c r="Q49" s="58"/>
      <c r="R49" s="58"/>
      <c r="S49" s="31"/>
    </row>
    <row r="50" spans="1:19" ht="15">
      <c r="A50" s="52">
        <f>A49+1</f>
        <v>29</v>
      </c>
      <c r="B50" s="1370" t="s">
        <v>852</v>
      </c>
      <c r="C50" s="1368" t="s">
        <v>853</v>
      </c>
      <c r="D50" s="1369">
        <v>2988</v>
      </c>
      <c r="E50" s="1231">
        <f t="shared" si="1"/>
        <v>2988</v>
      </c>
      <c r="F50" s="1231"/>
      <c r="G50"/>
      <c r="M50" s="29"/>
      <c r="N50" s="57"/>
      <c r="O50" s="58"/>
      <c r="P50" s="58"/>
      <c r="Q50" s="58"/>
      <c r="R50" s="58"/>
      <c r="S50" s="31"/>
    </row>
    <row r="51" spans="1:19" ht="15">
      <c r="A51" s="52">
        <f>A50+1</f>
        <v>30</v>
      </c>
      <c r="B51" s="1370" t="s">
        <v>854</v>
      </c>
      <c r="C51" s="1368" t="s">
        <v>855</v>
      </c>
      <c r="D51" s="1369">
        <v>2</v>
      </c>
      <c r="E51" s="1231">
        <f t="shared" si="1"/>
        <v>2</v>
      </c>
      <c r="F51" s="1231"/>
      <c r="G51"/>
      <c r="M51" s="29"/>
      <c r="N51" s="57"/>
      <c r="O51" s="58"/>
      <c r="P51" s="58"/>
      <c r="Q51" s="58"/>
      <c r="R51" s="58"/>
      <c r="S51" s="31"/>
    </row>
    <row r="52" spans="1:19" ht="15">
      <c r="A52" s="52">
        <f>A51+1</f>
        <v>31</v>
      </c>
      <c r="B52" s="1370" t="s">
        <v>856</v>
      </c>
      <c r="C52" s="1368" t="s">
        <v>857</v>
      </c>
      <c r="D52" s="1369">
        <v>112123</v>
      </c>
      <c r="E52" s="1231">
        <f t="shared" si="1"/>
        <v>112123</v>
      </c>
      <c r="F52" s="1231"/>
      <c r="G52"/>
      <c r="M52" s="29"/>
      <c r="N52" s="57"/>
      <c r="O52" s="58"/>
      <c r="P52" s="58"/>
      <c r="Q52" s="58"/>
      <c r="R52" s="58"/>
      <c r="S52" s="31"/>
    </row>
    <row r="53" spans="1:19" ht="15">
      <c r="A53" s="52">
        <f>A52+1</f>
        <v>32</v>
      </c>
      <c r="B53" s="1370" t="s">
        <v>858</v>
      </c>
      <c r="C53" s="1368" t="s">
        <v>859</v>
      </c>
      <c r="D53" s="1369">
        <v>0</v>
      </c>
      <c r="E53" s="1231">
        <f t="shared" si="1"/>
        <v>0</v>
      </c>
      <c r="F53" s="1215">
        <v>0</v>
      </c>
      <c r="G53"/>
      <c r="M53" s="29"/>
      <c r="N53" s="57"/>
      <c r="O53" s="58"/>
      <c r="P53" s="58"/>
      <c r="Q53" s="58"/>
      <c r="R53" s="58"/>
      <c r="S53" s="31"/>
    </row>
    <row r="54" spans="1:7" ht="15">
      <c r="A54" s="52">
        <f t="shared" si="2"/>
        <v>33</v>
      </c>
      <c r="B54" s="1370" t="s">
        <v>860</v>
      </c>
      <c r="C54" s="1368" t="s">
        <v>861</v>
      </c>
      <c r="D54" s="1369">
        <v>0</v>
      </c>
      <c r="E54" s="1231">
        <f t="shared" si="1"/>
        <v>0</v>
      </c>
      <c r="F54" s="1215">
        <v>0</v>
      </c>
      <c r="G54"/>
    </row>
    <row r="55" spans="1:7" ht="15">
      <c r="A55" s="52">
        <f t="shared" si="2"/>
        <v>34</v>
      </c>
      <c r="B55" s="1370" t="s">
        <v>862</v>
      </c>
      <c r="C55" s="1368" t="s">
        <v>863</v>
      </c>
      <c r="D55" s="1369">
        <v>41597</v>
      </c>
      <c r="E55" s="1231">
        <f t="shared" si="1"/>
        <v>41597</v>
      </c>
      <c r="F55" s="1215">
        <v>0</v>
      </c>
      <c r="G55" s="47"/>
    </row>
    <row r="56" spans="1:7" ht="15">
      <c r="A56" s="52">
        <f t="shared" si="2"/>
        <v>35</v>
      </c>
      <c r="B56" s="1234"/>
      <c r="C56" s="1235"/>
      <c r="D56" s="1236"/>
      <c r="E56" s="1231">
        <f t="shared" si="1"/>
        <v>0</v>
      </c>
      <c r="F56" s="1215">
        <v>0</v>
      </c>
      <c r="G56" s="47"/>
    </row>
    <row r="57" spans="1:7" ht="15">
      <c r="A57" s="52">
        <f t="shared" si="2"/>
        <v>36</v>
      </c>
      <c r="B57" s="1234"/>
      <c r="C57" s="1235"/>
      <c r="D57" s="1236"/>
      <c r="E57" s="1231">
        <f t="shared" si="1"/>
        <v>0</v>
      </c>
      <c r="F57" s="1215">
        <v>0</v>
      </c>
      <c r="G57" s="47"/>
    </row>
    <row r="58" spans="2:7" ht="15">
      <c r="B58" s="46"/>
      <c r="C58" s="33"/>
      <c r="D58" s="1216"/>
      <c r="E58" s="1217"/>
      <c r="F58" s="1216"/>
      <c r="G58" s="47"/>
    </row>
    <row r="59" spans="1:7" ht="15.75">
      <c r="A59" s="52">
        <f>A57+1</f>
        <v>37</v>
      </c>
      <c r="B59" s="1214"/>
      <c r="C59" s="1126" t="s">
        <v>616</v>
      </c>
      <c r="D59" s="55">
        <f>SUM(D42:D58)</f>
        <v>480267</v>
      </c>
      <c r="E59" s="55">
        <f>SUM(E42:E58)</f>
        <v>480267</v>
      </c>
      <c r="F59" s="55">
        <f>SUM(F42:F54)</f>
        <v>0</v>
      </c>
      <c r="G59" s="30"/>
    </row>
    <row r="60" spans="2:7" ht="12.75" customHeight="1">
      <c r="B60" s="20"/>
      <c r="C60" s="20"/>
      <c r="D60" s="20"/>
      <c r="E60" s="20"/>
      <c r="F60" s="20"/>
      <c r="G60" s="39"/>
    </row>
    <row r="61" spans="2:7" ht="15.75">
      <c r="B61" s="37"/>
      <c r="C61" s="1221" t="s">
        <v>212</v>
      </c>
      <c r="D61" s="51"/>
      <c r="E61" s="51"/>
      <c r="F61" s="51"/>
      <c r="G61" s="37"/>
    </row>
    <row r="62" spans="1:11" ht="15">
      <c r="A62" s="52">
        <f>+A59+1</f>
        <v>38</v>
      </c>
      <c r="B62" s="1373" t="s">
        <v>864</v>
      </c>
      <c r="C62" s="1371" t="s">
        <v>865</v>
      </c>
      <c r="D62" s="1372">
        <v>3566402</v>
      </c>
      <c r="E62" s="1231">
        <f>+D62</f>
        <v>3566402</v>
      </c>
      <c r="F62" s="1215"/>
      <c r="G62" s="29"/>
      <c r="H62" s="29"/>
      <c r="J62" s="31"/>
      <c r="K62" s="31"/>
    </row>
    <row r="63" spans="1:11" ht="15">
      <c r="A63" s="52">
        <f>+A62+1</f>
        <v>39</v>
      </c>
      <c r="B63" s="1373" t="s">
        <v>866</v>
      </c>
      <c r="C63" s="1371" t="s">
        <v>867</v>
      </c>
      <c r="D63" s="1372">
        <v>43175</v>
      </c>
      <c r="E63" s="1231">
        <f>+D63</f>
        <v>43175</v>
      </c>
      <c r="F63" s="1215"/>
      <c r="G63" s="29"/>
      <c r="H63" s="29"/>
      <c r="J63" s="31"/>
      <c r="K63" s="31"/>
    </row>
    <row r="64" spans="1:11" ht="15">
      <c r="A64" s="52">
        <f>+A61+1</f>
        <v>1</v>
      </c>
      <c r="B64" s="1373" t="s">
        <v>868</v>
      </c>
      <c r="C64" s="1371" t="s">
        <v>869</v>
      </c>
      <c r="D64" s="1372">
        <v>401</v>
      </c>
      <c r="E64" s="1231">
        <f>+D64</f>
        <v>401</v>
      </c>
      <c r="F64" s="1215"/>
      <c r="G64" s="29"/>
      <c r="H64" s="29"/>
      <c r="J64" s="31"/>
      <c r="K64" s="31"/>
    </row>
    <row r="65" spans="1:11" ht="15">
      <c r="A65" s="52">
        <f>+A64+1</f>
        <v>2</v>
      </c>
      <c r="B65" s="1373" t="s">
        <v>918</v>
      </c>
      <c r="C65" s="1371" t="s">
        <v>919</v>
      </c>
      <c r="D65" s="1372">
        <v>0</v>
      </c>
      <c r="E65" s="1231">
        <f>+D65</f>
        <v>0</v>
      </c>
      <c r="F65" s="1215"/>
      <c r="G65" s="29"/>
      <c r="H65" s="29"/>
      <c r="J65" s="31"/>
      <c r="K65" s="31"/>
    </row>
    <row r="66" spans="1:11" ht="15">
      <c r="A66" s="52">
        <f>+A63+1</f>
        <v>40</v>
      </c>
      <c r="B66" s="1373" t="s">
        <v>870</v>
      </c>
      <c r="C66" s="1371" t="s">
        <v>871</v>
      </c>
      <c r="D66" s="1372">
        <v>158859</v>
      </c>
      <c r="E66" s="1231">
        <f>+D66</f>
        <v>158859</v>
      </c>
      <c r="F66" s="1215"/>
      <c r="G66" s="29"/>
      <c r="H66" s="29"/>
      <c r="J66" s="31"/>
      <c r="K66" s="31"/>
    </row>
    <row r="67" spans="1:11" ht="15">
      <c r="A67" s="52">
        <f>+A66+1</f>
        <v>41</v>
      </c>
      <c r="B67" s="1373" t="s">
        <v>872</v>
      </c>
      <c r="C67" s="1371" t="s">
        <v>873</v>
      </c>
      <c r="D67" s="1372">
        <v>736361</v>
      </c>
      <c r="E67" s="1231">
        <f>D67-F67</f>
        <v>608505</v>
      </c>
      <c r="F67" s="1215">
        <v>127856</v>
      </c>
      <c r="G67" s="29"/>
      <c r="H67" s="29"/>
      <c r="J67" s="31"/>
      <c r="K67" s="31"/>
    </row>
    <row r="68" spans="1:7" ht="15">
      <c r="A68" s="52">
        <f>+A67+1</f>
        <v>42</v>
      </c>
      <c r="B68" s="1373">
        <v>9302458</v>
      </c>
      <c r="C68" s="1371" t="s">
        <v>920</v>
      </c>
      <c r="D68" s="1374">
        <v>0</v>
      </c>
      <c r="E68" s="1218">
        <f>D68</f>
        <v>0</v>
      </c>
      <c r="F68" s="1219">
        <v>0</v>
      </c>
      <c r="G68" s="39"/>
    </row>
    <row r="69" spans="2:7" ht="15">
      <c r="B69" s="1223"/>
      <c r="C69" s="1225"/>
      <c r="D69" s="1226"/>
      <c r="E69" s="1224"/>
      <c r="F69" s="1224"/>
      <c r="G69" s="39"/>
    </row>
    <row r="70" spans="1:7" ht="15.75">
      <c r="A70" s="52">
        <f>+A68+1</f>
        <v>43</v>
      </c>
      <c r="B70" s="20"/>
      <c r="C70" s="1126" t="s">
        <v>617</v>
      </c>
      <c r="D70" s="1219">
        <f>SUM(D62:D68)</f>
        <v>4505198</v>
      </c>
      <c r="E70" s="1219">
        <f>SUM(E62:E68)</f>
        <v>4377342</v>
      </c>
      <c r="F70" s="1219">
        <f>SUM(F62:F68)</f>
        <v>127856</v>
      </c>
      <c r="G70" s="30"/>
    </row>
    <row r="71" spans="2:7" ht="15">
      <c r="B71" s="81"/>
      <c r="C71" s="21"/>
      <c r="D71" s="292"/>
      <c r="E71" s="21"/>
      <c r="F71" s="21"/>
      <c r="G71" s="21"/>
    </row>
    <row r="72" spans="1:6" ht="12.75">
      <c r="A72"/>
      <c r="B72"/>
      <c r="C72"/>
      <c r="D72"/>
      <c r="E72"/>
      <c r="F72"/>
    </row>
    <row r="73" spans="1:6" ht="12.75">
      <c r="A73"/>
      <c r="B73"/>
      <c r="C73"/>
      <c r="D73"/>
      <c r="E73"/>
      <c r="F73"/>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2018-05-25T13:46:47Z</dcterms:modified>
  <cp:category/>
  <cp:version/>
  <cp:contentType/>
  <cp:contentStatus/>
</cp:coreProperties>
</file>